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ra\Documents\Bakken\E-conomic\"/>
    </mc:Choice>
  </mc:AlternateContent>
  <xr:revisionPtr revIDLastSave="0" documentId="13_ncr:1_{1DC8952A-46CB-4441-8F95-44E7DC74D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nskab og budget" sheetId="10" r:id="rId1"/>
    <sheet name="Banken" sheetId="25" r:id="rId2"/>
    <sheet name="Arbejdskapital" sheetId="21" r:id="rId3"/>
    <sheet name="5-årsplanen" sheetId="27" r:id="rId4"/>
    <sheet name="ØL-regnskab" sheetId="28" r:id="rId5"/>
    <sheet name="Saldobalance" sheetId="11" r:id="rId6"/>
    <sheet name="Budget 23" sheetId="8" r:id="rId7"/>
    <sheet name="Kontoplan 22.12.28" sheetId="9" r:id="rId8"/>
    <sheet name="Ultimokontrol" sheetId="26" r:id="rId9"/>
    <sheet name="Versionsstyring" sheetId="19" r:id="rId10"/>
  </sheets>
  <definedNames>
    <definedName name="_xlnm._FilterDatabase" localSheetId="0" hidden="1">'Regnskab og budget'!$A$1:$S$1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0" l="1"/>
  <c r="D322" i="11"/>
  <c r="C322" i="11"/>
  <c r="E321" i="11"/>
  <c r="D320" i="11"/>
  <c r="C320" i="11"/>
  <c r="D319" i="11"/>
  <c r="E319" i="11" s="1"/>
  <c r="C319" i="11"/>
  <c r="D318" i="11"/>
  <c r="E318" i="11" s="1"/>
  <c r="C318" i="11"/>
  <c r="E317" i="11"/>
  <c r="E316" i="11"/>
  <c r="E315" i="11"/>
  <c r="D312" i="11"/>
  <c r="E312" i="11" s="1"/>
  <c r="C312" i="11"/>
  <c r="E311" i="11"/>
  <c r="E310" i="11"/>
  <c r="E309" i="11"/>
  <c r="E308" i="11"/>
  <c r="E307" i="11"/>
  <c r="D302" i="11"/>
  <c r="E302" i="11" s="1"/>
  <c r="C302" i="11"/>
  <c r="E301" i="11"/>
  <c r="E300" i="11"/>
  <c r="E299" i="11"/>
  <c r="E298" i="11"/>
  <c r="E297" i="11"/>
  <c r="D296" i="11"/>
  <c r="C296" i="11"/>
  <c r="E295" i="11"/>
  <c r="E294" i="11"/>
  <c r="D293" i="11"/>
  <c r="C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D274" i="11"/>
  <c r="E274" i="11" s="1"/>
  <c r="C274" i="11"/>
  <c r="E273" i="11"/>
  <c r="D272" i="11"/>
  <c r="E272" i="11" s="1"/>
  <c r="C272" i="11"/>
  <c r="E271" i="11"/>
  <c r="D266" i="11"/>
  <c r="C266" i="11"/>
  <c r="D265" i="11"/>
  <c r="C265" i="11"/>
  <c r="E265" i="11" s="1"/>
  <c r="E264" i="11"/>
  <c r="D264" i="11"/>
  <c r="C264" i="11"/>
  <c r="E263" i="11"/>
  <c r="E262" i="11"/>
  <c r="E261" i="11"/>
  <c r="E260" i="11"/>
  <c r="D257" i="11"/>
  <c r="E257" i="11" s="1"/>
  <c r="C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D242" i="11"/>
  <c r="C242" i="11"/>
  <c r="E241" i="11"/>
  <c r="D236" i="11"/>
  <c r="C236" i="11"/>
  <c r="E235" i="11"/>
  <c r="E234" i="11"/>
  <c r="D233" i="11"/>
  <c r="C233" i="11"/>
  <c r="E233" i="11" s="1"/>
  <c r="E232" i="11"/>
  <c r="E231" i="11"/>
  <c r="E230" i="11"/>
  <c r="D227" i="11"/>
  <c r="E227" i="11" s="1"/>
  <c r="C227" i="11"/>
  <c r="E226" i="11"/>
  <c r="E225" i="11"/>
  <c r="E224" i="11"/>
  <c r="E223" i="11"/>
  <c r="E222" i="11"/>
  <c r="E221" i="11"/>
  <c r="D214" i="11"/>
  <c r="E214" i="11" s="1"/>
  <c r="C214" i="11"/>
  <c r="D213" i="11"/>
  <c r="C213" i="11"/>
  <c r="D212" i="11"/>
  <c r="E212" i="11" s="1"/>
  <c r="C212" i="11"/>
  <c r="E211" i="11"/>
  <c r="E210" i="11"/>
  <c r="E209" i="11"/>
  <c r="D206" i="11"/>
  <c r="E206" i="11" s="1"/>
  <c r="C206" i="11"/>
  <c r="E205" i="11"/>
  <c r="D204" i="11"/>
  <c r="E204" i="11" s="1"/>
  <c r="C204" i="11"/>
  <c r="D203" i="11"/>
  <c r="C203" i="11"/>
  <c r="E202" i="11"/>
  <c r="E201" i="11"/>
  <c r="E200" i="11"/>
  <c r="E199" i="11"/>
  <c r="E198" i="11"/>
  <c r="E197" i="11"/>
  <c r="E196" i="11"/>
  <c r="D195" i="11"/>
  <c r="C195" i="11"/>
  <c r="E194" i="11"/>
  <c r="E193" i="11"/>
  <c r="E192" i="11"/>
  <c r="D189" i="11"/>
  <c r="E189" i="11" s="1"/>
  <c r="C189" i="11"/>
  <c r="E188" i="11"/>
  <c r="E187" i="11"/>
  <c r="E186" i="11"/>
  <c r="E185" i="11"/>
  <c r="D182" i="11"/>
  <c r="E182" i="11" s="1"/>
  <c r="C182" i="11"/>
  <c r="E181" i="11"/>
  <c r="E180" i="11"/>
  <c r="E179" i="11"/>
  <c r="D176" i="11"/>
  <c r="E176" i="11" s="1"/>
  <c r="C176" i="11"/>
  <c r="E175" i="11"/>
  <c r="E174" i="11"/>
  <c r="E173" i="11"/>
  <c r="D170" i="11"/>
  <c r="C170" i="11"/>
  <c r="E169" i="11"/>
  <c r="E168" i="11"/>
  <c r="E167" i="11"/>
  <c r="E166" i="11"/>
  <c r="D163" i="11"/>
  <c r="C163" i="11"/>
  <c r="E162" i="11"/>
  <c r="E161" i="11"/>
  <c r="E160" i="11"/>
  <c r="E159" i="11"/>
  <c r="D156" i="11"/>
  <c r="E156" i="11" s="1"/>
  <c r="C156" i="11"/>
  <c r="E155" i="11"/>
  <c r="E154" i="11"/>
  <c r="E153" i="11"/>
  <c r="E152" i="11"/>
  <c r="E151" i="11"/>
  <c r="E150" i="11"/>
  <c r="E149" i="11"/>
  <c r="D144" i="11"/>
  <c r="C144" i="11"/>
  <c r="D143" i="11"/>
  <c r="E143" i="11" s="1"/>
  <c r="C143" i="11"/>
  <c r="D142" i="11"/>
  <c r="C142" i="11"/>
  <c r="E141" i="11"/>
  <c r="D141" i="11"/>
  <c r="C141" i="11"/>
  <c r="E140" i="11"/>
  <c r="E139" i="11"/>
  <c r="E138" i="11"/>
  <c r="E137" i="11"/>
  <c r="D134" i="11"/>
  <c r="C134" i="11"/>
  <c r="E133" i="11"/>
  <c r="E132" i="11"/>
  <c r="D129" i="11"/>
  <c r="C129" i="11"/>
  <c r="E128" i="11"/>
  <c r="E127" i="11"/>
  <c r="E126" i="11"/>
  <c r="D123" i="11"/>
  <c r="E123" i="11" s="1"/>
  <c r="C123" i="11"/>
  <c r="E122" i="11"/>
  <c r="E121" i="11"/>
  <c r="E120" i="11"/>
  <c r="E119" i="11"/>
  <c r="E118" i="11"/>
  <c r="E117" i="11"/>
  <c r="E114" i="11"/>
  <c r="D114" i="11"/>
  <c r="C114" i="11"/>
  <c r="E113" i="11"/>
  <c r="E112" i="11"/>
  <c r="E111" i="11"/>
  <c r="E110" i="11"/>
  <c r="E109" i="11"/>
  <c r="E106" i="11"/>
  <c r="D106" i="11"/>
  <c r="C106" i="11"/>
  <c r="E105" i="11"/>
  <c r="E104" i="11"/>
  <c r="D101" i="11"/>
  <c r="E101" i="11" s="1"/>
  <c r="C101" i="11"/>
  <c r="E100" i="11"/>
  <c r="E99" i="11"/>
  <c r="E98" i="11"/>
  <c r="E97" i="11"/>
  <c r="E96" i="11"/>
  <c r="E95" i="11"/>
  <c r="E94" i="11"/>
  <c r="E91" i="11"/>
  <c r="E90" i="11"/>
  <c r="D87" i="11"/>
  <c r="E87" i="11" s="1"/>
  <c r="C87" i="11"/>
  <c r="D86" i="11"/>
  <c r="C86" i="11"/>
  <c r="E85" i="11"/>
  <c r="D82" i="11"/>
  <c r="E82" i="11" s="1"/>
  <c r="C82" i="11"/>
  <c r="E81" i="11"/>
  <c r="E80" i="11"/>
  <c r="E79" i="11"/>
  <c r="E78" i="11"/>
  <c r="E77" i="11"/>
  <c r="E76" i="11"/>
  <c r="E75" i="11"/>
  <c r="E74" i="11"/>
  <c r="E73" i="11"/>
  <c r="E72" i="11"/>
  <c r="E71" i="11"/>
  <c r="D68" i="11"/>
  <c r="E68" i="11" s="1"/>
  <c r="C68" i="11"/>
  <c r="E67" i="11"/>
  <c r="E66" i="11"/>
  <c r="E65" i="11"/>
  <c r="E64" i="11"/>
  <c r="E63" i="11"/>
  <c r="E62" i="11"/>
  <c r="E59" i="11"/>
  <c r="E58" i="11"/>
  <c r="E57" i="11"/>
  <c r="D56" i="11"/>
  <c r="C56" i="11"/>
  <c r="E55" i="11"/>
  <c r="E54" i="11"/>
  <c r="E53" i="11"/>
  <c r="E52" i="11"/>
  <c r="D49" i="11"/>
  <c r="C49" i="11"/>
  <c r="E48" i="11"/>
  <c r="E47" i="11"/>
  <c r="E46" i="11"/>
  <c r="E45" i="11"/>
  <c r="E44" i="11"/>
  <c r="E43" i="11"/>
  <c r="E42" i="11"/>
  <c r="E41" i="11"/>
  <c r="E40" i="11"/>
  <c r="E39" i="11"/>
  <c r="D36" i="11"/>
  <c r="E36" i="11" s="1"/>
  <c r="C36" i="11"/>
  <c r="E35" i="11"/>
  <c r="E34" i="11"/>
  <c r="E33" i="11"/>
  <c r="E32" i="11"/>
  <c r="E31" i="11"/>
  <c r="E30" i="11"/>
  <c r="E29" i="11"/>
  <c r="E28" i="11"/>
  <c r="D25" i="11"/>
  <c r="C25" i="11"/>
  <c r="E24" i="11"/>
  <c r="E23" i="11"/>
  <c r="E22" i="11"/>
  <c r="E21" i="11"/>
  <c r="E20" i="11"/>
  <c r="E19" i="11"/>
  <c r="E18" i="11"/>
  <c r="D13" i="11"/>
  <c r="E13" i="11" s="1"/>
  <c r="C13" i="11"/>
  <c r="E12" i="11"/>
  <c r="E11" i="11"/>
  <c r="E10" i="11"/>
  <c r="E9" i="11"/>
  <c r="F24" i="27"/>
  <c r="D24" i="27"/>
  <c r="F23" i="27"/>
  <c r="D23" i="27" s="1"/>
  <c r="F22" i="27"/>
  <c r="D22" i="27"/>
  <c r="O21" i="27"/>
  <c r="M21" i="27"/>
  <c r="K21" i="27"/>
  <c r="I21" i="27"/>
  <c r="G21" i="27"/>
  <c r="F19" i="27"/>
  <c r="D19" i="27"/>
  <c r="F18" i="27"/>
  <c r="D18" i="27"/>
  <c r="F17" i="27"/>
  <c r="D17" i="27" s="1"/>
  <c r="F16" i="27"/>
  <c r="D16" i="27"/>
  <c r="O15" i="27"/>
  <c r="M15" i="27"/>
  <c r="M26" i="27" s="1"/>
  <c r="K15" i="27"/>
  <c r="K26" i="27" s="1"/>
  <c r="I15" i="27"/>
  <c r="I26" i="27" s="1"/>
  <c r="G15" i="27"/>
  <c r="F13" i="27"/>
  <c r="D13" i="27"/>
  <c r="F12" i="27"/>
  <c r="D12" i="27" s="1"/>
  <c r="F11" i="27"/>
  <c r="D11" i="27"/>
  <c r="F10" i="27"/>
  <c r="D10" i="27" s="1"/>
  <c r="F9" i="27"/>
  <c r="D9" i="27"/>
  <c r="G8" i="27"/>
  <c r="F8" i="27" s="1"/>
  <c r="D8" i="27" s="1"/>
  <c r="J102" i="10"/>
  <c r="K83" i="10"/>
  <c r="G26" i="27" l="1"/>
  <c r="G28" i="27" s="1"/>
  <c r="E56" i="11"/>
  <c r="E134" i="11"/>
  <c r="E195" i="11"/>
  <c r="E266" i="11"/>
  <c r="E296" i="11"/>
  <c r="E142" i="11"/>
  <c r="E203" i="11"/>
  <c r="E320" i="11"/>
  <c r="O26" i="27"/>
  <c r="E49" i="11"/>
  <c r="E170" i="11"/>
  <c r="E236" i="11"/>
  <c r="F21" i="27"/>
  <c r="E86" i="11"/>
  <c r="E129" i="11"/>
  <c r="E163" i="11"/>
  <c r="E293" i="11"/>
  <c r="E322" i="11"/>
  <c r="E25" i="11"/>
  <c r="E144" i="11"/>
  <c r="E213" i="11"/>
  <c r="E242" i="11"/>
  <c r="I28" i="27"/>
  <c r="K28" i="27"/>
  <c r="M28" i="27"/>
  <c r="O28" i="27"/>
  <c r="F15" i="27"/>
  <c r="E21" i="27"/>
  <c r="E15" i="27"/>
  <c r="G67" i="10"/>
  <c r="D21" i="27" l="1"/>
  <c r="F26" i="27"/>
  <c r="D15" i="27"/>
  <c r="D26" i="27" s="1"/>
  <c r="E26" i="27"/>
  <c r="D25" i="25"/>
  <c r="B25" i="25"/>
  <c r="A25" i="25"/>
  <c r="D24" i="25"/>
  <c r="B24" i="25"/>
  <c r="A24" i="25"/>
  <c r="A23" i="25"/>
  <c r="A22" i="25"/>
  <c r="A21" i="25"/>
  <c r="B8" i="25"/>
  <c r="B9" i="25" s="1"/>
  <c r="K81" i="10" l="1"/>
  <c r="H57" i="28" l="1"/>
  <c r="G57" i="28"/>
  <c r="F57" i="28"/>
  <c r="E57" i="28"/>
  <c r="D57" i="28"/>
  <c r="C57" i="28"/>
  <c r="C61" i="28" s="1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AD25" i="28"/>
  <c r="AC25" i="28"/>
  <c r="AB25" i="28"/>
  <c r="AA25" i="28"/>
  <c r="Z25" i="28"/>
  <c r="Y25" i="28"/>
  <c r="X25" i="28"/>
  <c r="W25" i="28"/>
  <c r="W62" i="28" s="1"/>
  <c r="V25" i="28"/>
  <c r="V62" i="28" s="1"/>
  <c r="U25" i="28"/>
  <c r="U62" i="28" s="1"/>
  <c r="T25" i="28"/>
  <c r="T62" i="28" s="1"/>
  <c r="S25" i="28"/>
  <c r="S62" i="28" s="1"/>
  <c r="N23" i="28"/>
  <c r="M23" i="28"/>
  <c r="L23" i="28"/>
  <c r="K23" i="28"/>
  <c r="K7" i="28" s="1"/>
  <c r="J23" i="28"/>
  <c r="J7" i="28" s="1"/>
  <c r="J8" i="28" s="1"/>
  <c r="I23" i="28"/>
  <c r="I7" i="28" s="1"/>
  <c r="I8" i="28" s="1"/>
  <c r="H23" i="28"/>
  <c r="G23" i="28"/>
  <c r="F23" i="28"/>
  <c r="E23" i="28"/>
  <c r="D23" i="28"/>
  <c r="D7" i="28" s="1"/>
  <c r="C23" i="28"/>
  <c r="O23" i="28" s="1"/>
  <c r="P18" i="28"/>
  <c r="P17" i="28"/>
  <c r="P16" i="28"/>
  <c r="P15" i="28"/>
  <c r="P14" i="28"/>
  <c r="AD13" i="28"/>
  <c r="AC13" i="28"/>
  <c r="AB13" i="28"/>
  <c r="AB5" i="28" s="1"/>
  <c r="AB4" i="28" s="1"/>
  <c r="AA13" i="28"/>
  <c r="Z13" i="28"/>
  <c r="Y13" i="28"/>
  <c r="X13" i="28"/>
  <c r="X5" i="28" s="1"/>
  <c r="X6" i="28" s="1"/>
  <c r="W13" i="28"/>
  <c r="W5" i="28" s="1"/>
  <c r="V13" i="28"/>
  <c r="U13" i="28"/>
  <c r="T13" i="28"/>
  <c r="S13" i="28"/>
  <c r="M7" i="28"/>
  <c r="L7" i="28"/>
  <c r="G7" i="28"/>
  <c r="F7" i="28"/>
  <c r="E7" i="28"/>
  <c r="E8" i="28" s="1"/>
  <c r="U6" i="28"/>
  <c r="U59" i="28" s="1"/>
  <c r="S6" i="28"/>
  <c r="S59" i="28" s="1"/>
  <c r="N6" i="28"/>
  <c r="L6" i="28"/>
  <c r="L8" i="28" s="1"/>
  <c r="K6" i="28"/>
  <c r="J6" i="28"/>
  <c r="I6" i="28"/>
  <c r="H6" i="28"/>
  <c r="G6" i="28"/>
  <c r="F6" i="28"/>
  <c r="E6" i="28"/>
  <c r="D6" i="28"/>
  <c r="C6" i="28"/>
  <c r="AD5" i="28"/>
  <c r="AD6" i="28" s="1"/>
  <c r="AC5" i="28"/>
  <c r="AC6" i="28" s="1"/>
  <c r="AA5" i="28"/>
  <c r="AA4" i="28" s="1"/>
  <c r="Z5" i="28"/>
  <c r="Z4" i="28" s="1"/>
  <c r="Y5" i="28"/>
  <c r="Y6" i="28" s="1"/>
  <c r="V5" i="28"/>
  <c r="V6" i="28" s="1"/>
  <c r="V59" i="28" s="1"/>
  <c r="U5" i="28"/>
  <c r="U4" i="28" s="1"/>
  <c r="T5" i="28"/>
  <c r="S5" i="28"/>
  <c r="S4" i="28" s="1"/>
  <c r="AD4" i="28"/>
  <c r="AC4" i="28"/>
  <c r="Y4" i="28"/>
  <c r="V4" i="28"/>
  <c r="L4" i="28"/>
  <c r="K4" i="28"/>
  <c r="J4" i="28"/>
  <c r="I4" i="28"/>
  <c r="H4" i="28"/>
  <c r="G4" i="28"/>
  <c r="F4" i="28"/>
  <c r="E4" i="28"/>
  <c r="D4" i="28"/>
  <c r="C4" i="28"/>
  <c r="M3" i="28"/>
  <c r="M6" i="28" s="1"/>
  <c r="AD2" i="28"/>
  <c r="AD12" i="28" s="1"/>
  <c r="AC2" i="28"/>
  <c r="AC12" i="28" s="1"/>
  <c r="AB2" i="28"/>
  <c r="AB12" i="28" s="1"/>
  <c r="AA2" i="28"/>
  <c r="AA12" i="28" s="1"/>
  <c r="Z2" i="28"/>
  <c r="Z12" i="28" s="1"/>
  <c r="Y2" i="28"/>
  <c r="Y12" i="28" s="1"/>
  <c r="X2" i="28"/>
  <c r="X12" i="28" s="1"/>
  <c r="W2" i="28"/>
  <c r="W58" i="28" s="1"/>
  <c r="V2" i="28"/>
  <c r="V12" i="28" s="1"/>
  <c r="U2" i="28"/>
  <c r="U12" i="28" s="1"/>
  <c r="T2" i="28"/>
  <c r="T58" i="28" s="1"/>
  <c r="S2" i="28"/>
  <c r="S12" i="28" s="1"/>
  <c r="G8" i="28" l="1"/>
  <c r="K8" i="28"/>
  <c r="F8" i="28"/>
  <c r="D8" i="28"/>
  <c r="T12" i="28"/>
  <c r="P23" i="28"/>
  <c r="W4" i="28"/>
  <c r="W6" i="28"/>
  <c r="W59" i="28" s="1"/>
  <c r="M8" i="28"/>
  <c r="P5" i="28"/>
  <c r="M4" i="28"/>
  <c r="AA6" i="28"/>
  <c r="H7" i="28"/>
  <c r="H8" i="28" s="1"/>
  <c r="P57" i="28"/>
  <c r="P59" i="28" s="1"/>
  <c r="U60" i="28"/>
  <c r="U61" i="28" s="1"/>
  <c r="U64" i="28" s="1"/>
  <c r="T60" i="28"/>
  <c r="S60" i="28"/>
  <c r="S61" i="28" s="1"/>
  <c r="W60" i="28"/>
  <c r="V60" i="28"/>
  <c r="V61" i="28" s="1"/>
  <c r="X4" i="28"/>
  <c r="Z6" i="28"/>
  <c r="W12" i="28"/>
  <c r="O57" i="28"/>
  <c r="T6" i="28"/>
  <c r="T59" i="28" s="1"/>
  <c r="AB6" i="28"/>
  <c r="S58" i="28"/>
  <c r="T4" i="28"/>
  <c r="U58" i="28"/>
  <c r="C7" i="28"/>
  <c r="C8" i="28" s="1"/>
  <c r="V58" i="28"/>
  <c r="P3" i="28"/>
  <c r="P6" i="28" l="1"/>
  <c r="P63" i="28" s="1"/>
  <c r="W61" i="28"/>
  <c r="W64" i="28" s="1"/>
  <c r="T61" i="28"/>
  <c r="T64" i="28" s="1"/>
  <c r="P8" i="28"/>
  <c r="P4" i="28"/>
  <c r="U63" i="28"/>
  <c r="V64" i="28"/>
  <c r="V63" i="28"/>
  <c r="S64" i="28"/>
  <c r="S63" i="28"/>
  <c r="T63" i="28"/>
  <c r="W63" i="28"/>
  <c r="C210" i="10" l="1"/>
  <c r="C200" i="10"/>
  <c r="C188" i="10"/>
  <c r="C179" i="10"/>
  <c r="C170" i="10"/>
  <c r="C161" i="10"/>
  <c r="C148" i="10"/>
  <c r="K68" i="10" l="1"/>
  <c r="K67" i="10" s="1"/>
  <c r="K59" i="10"/>
  <c r="A46" i="8" l="1"/>
  <c r="B46" i="8"/>
  <c r="C46" i="8"/>
  <c r="A47" i="8"/>
  <c r="B47" i="8"/>
  <c r="C47" i="8"/>
  <c r="A70" i="10"/>
  <c r="D46" i="8" s="1"/>
  <c r="E46" i="8"/>
  <c r="F70" i="10"/>
  <c r="D21" i="26" l="1"/>
  <c r="D20" i="26"/>
  <c r="D19" i="26"/>
  <c r="D18" i="26"/>
  <c r="D17" i="26"/>
  <c r="D16" i="26"/>
  <c r="D15" i="26"/>
  <c r="D14" i="26"/>
  <c r="D13" i="26"/>
  <c r="D12" i="26"/>
  <c r="D11" i="26"/>
  <c r="D10" i="26"/>
  <c r="D8" i="26"/>
  <c r="D7" i="26"/>
  <c r="D6" i="26"/>
  <c r="D5" i="26"/>
  <c r="D4" i="26"/>
  <c r="D3" i="26"/>
  <c r="A69" i="10" l="1"/>
  <c r="D45" i="8" s="1"/>
  <c r="A71" i="10"/>
  <c r="D47" i="8" s="1"/>
  <c r="A68" i="10"/>
  <c r="D44" i="8" s="1"/>
  <c r="A45" i="8"/>
  <c r="B45" i="8"/>
  <c r="C45" i="8"/>
  <c r="A44" i="8"/>
  <c r="B44" i="8"/>
  <c r="C44" i="8"/>
  <c r="F69" i="10"/>
  <c r="E45" i="8"/>
  <c r="G68" i="10"/>
  <c r="F71" i="10"/>
  <c r="E47" i="8"/>
  <c r="E44" i="8"/>
  <c r="A67" i="10"/>
  <c r="L67" i="10" l="1"/>
  <c r="H67" i="10"/>
  <c r="A29" i="8"/>
  <c r="B29" i="8"/>
  <c r="C29" i="8"/>
  <c r="A30" i="8"/>
  <c r="B30" i="8"/>
  <c r="C30" i="8"/>
  <c r="F44" i="10"/>
  <c r="F45" i="10"/>
  <c r="E29" i="8"/>
  <c r="E30" i="8"/>
  <c r="A44" i="10"/>
  <c r="D29" i="8" s="1"/>
  <c r="A45" i="10"/>
  <c r="D30" i="8" s="1"/>
  <c r="A27" i="9" l="1"/>
  <c r="B27" i="9"/>
  <c r="A20" i="8"/>
  <c r="B20" i="8"/>
  <c r="C20" i="8"/>
  <c r="K35" i="10" l="1"/>
  <c r="C1" i="21"/>
  <c r="C4" i="21"/>
  <c r="F97" i="10"/>
  <c r="C3" i="21" l="1"/>
  <c r="G134" i="10"/>
  <c r="P87" i="10" l="1"/>
  <c r="E61" i="8"/>
  <c r="F87" i="10"/>
  <c r="A87" i="10"/>
  <c r="D61" i="8" s="1"/>
  <c r="A70" i="8"/>
  <c r="A69" i="8"/>
  <c r="D70" i="8"/>
  <c r="D68" i="8"/>
  <c r="D69" i="8"/>
  <c r="A68" i="8"/>
  <c r="B68" i="8"/>
  <c r="C68" i="8"/>
  <c r="A66" i="8"/>
  <c r="B66" i="8"/>
  <c r="C66" i="8"/>
  <c r="D23" i="25" l="1"/>
  <c r="B23" i="25"/>
  <c r="D22" i="25"/>
  <c r="C22" i="25"/>
  <c r="B22" i="25" s="1"/>
  <c r="D21" i="25"/>
  <c r="B21" i="25"/>
  <c r="B7" i="25"/>
  <c r="B3" i="25"/>
  <c r="B2" i="25"/>
  <c r="D26" i="25" l="1"/>
  <c r="B11" i="25"/>
  <c r="B14" i="25"/>
  <c r="B26" i="25"/>
  <c r="B16" i="25" s="1"/>
  <c r="B4" i="25"/>
  <c r="B15" i="25" l="1"/>
  <c r="B17" i="25" s="1"/>
  <c r="B26" i="9" l="1"/>
  <c r="B28" i="9"/>
  <c r="B145" i="9"/>
  <c r="B191" i="9"/>
  <c r="B192" i="9"/>
  <c r="B264" i="9"/>
  <c r="B271" i="9"/>
  <c r="B270" i="9"/>
  <c r="B268" i="9"/>
  <c r="B269" i="9"/>
  <c r="B267" i="9"/>
  <c r="B263" i="9"/>
  <c r="B257" i="9"/>
  <c r="B256" i="9"/>
  <c r="B255" i="9"/>
  <c r="B249" i="9"/>
  <c r="B234" i="9"/>
  <c r="B233" i="9"/>
  <c r="B232" i="9"/>
  <c r="B231" i="9"/>
  <c r="B229" i="9"/>
  <c r="B227" i="9"/>
  <c r="B226" i="9"/>
  <c r="B222" i="9"/>
  <c r="B223" i="9"/>
  <c r="B224" i="9"/>
  <c r="B225" i="9"/>
  <c r="B218" i="9"/>
  <c r="B217" i="9"/>
  <c r="A215" i="9"/>
  <c r="B215" i="9"/>
  <c r="A216" i="9"/>
  <c r="B216" i="9"/>
  <c r="B204" i="9"/>
  <c r="B203" i="9"/>
  <c r="B201" i="9"/>
  <c r="B200" i="9"/>
  <c r="B199" i="9"/>
  <c r="B182" i="9"/>
  <c r="B183" i="9"/>
  <c r="B184" i="9"/>
  <c r="B177" i="9"/>
  <c r="B178" i="9"/>
  <c r="B179" i="9"/>
  <c r="B180" i="9"/>
  <c r="B181" i="9"/>
  <c r="B175" i="9"/>
  <c r="B172" i="9"/>
  <c r="B173" i="9"/>
  <c r="B174" i="9"/>
  <c r="B161" i="9"/>
  <c r="B159" i="9"/>
  <c r="B160" i="9"/>
  <c r="B155" i="9"/>
  <c r="B153" i="9"/>
  <c r="B154" i="9"/>
  <c r="B143" i="9"/>
  <c r="B144" i="9"/>
  <c r="B150" i="9"/>
  <c r="B148" i="9"/>
  <c r="B149" i="9"/>
  <c r="B139" i="9"/>
  <c r="B138" i="9"/>
  <c r="B133" i="9"/>
  <c r="B132" i="9"/>
  <c r="B123" i="9"/>
  <c r="B124" i="9"/>
  <c r="B119" i="9"/>
  <c r="B120" i="9"/>
  <c r="B121" i="9"/>
  <c r="B122" i="9"/>
  <c r="B114" i="9"/>
  <c r="B113" i="9"/>
  <c r="B110" i="9"/>
  <c r="B109" i="9"/>
  <c r="B104" i="9"/>
  <c r="B105" i="9"/>
  <c r="B111" i="9"/>
  <c r="B97" i="9"/>
  <c r="B96" i="9"/>
  <c r="A88" i="9"/>
  <c r="B88" i="9"/>
  <c r="B89" i="9"/>
  <c r="B90" i="9"/>
  <c r="B86" i="9"/>
  <c r="B9" i="9"/>
  <c r="B10" i="9"/>
  <c r="B18" i="9"/>
  <c r="B19" i="9"/>
  <c r="B29" i="9"/>
  <c r="B46" i="9"/>
  <c r="B41" i="9"/>
  <c r="B39" i="9"/>
  <c r="B40" i="9"/>
  <c r="A51" i="9"/>
  <c r="B51" i="9"/>
  <c r="B50" i="9"/>
  <c r="B58" i="9"/>
  <c r="B57" i="9"/>
  <c r="B69" i="9"/>
  <c r="B73" i="9"/>
  <c r="B72" i="9"/>
  <c r="B74" i="9"/>
  <c r="B85" i="9"/>
  <c r="B77" i="9"/>
  <c r="G92" i="10" l="1"/>
  <c r="A92" i="10"/>
  <c r="F94" i="10"/>
  <c r="E66" i="8"/>
  <c r="A94" i="10"/>
  <c r="D66" i="8" s="1"/>
  <c r="G85" i="10"/>
  <c r="E65" i="8" l="1"/>
  <c r="F93" i="10"/>
  <c r="K92" i="10"/>
  <c r="L92" i="10" s="1"/>
  <c r="H92" i="10"/>
  <c r="K96" i="10" l="1"/>
  <c r="P89" i="10" l="1"/>
  <c r="A90" i="10" l="1"/>
  <c r="D60" i="8" s="1"/>
  <c r="A190" i="9" l="1"/>
  <c r="B190" i="9"/>
  <c r="B4" i="21" l="1"/>
  <c r="B3" i="21"/>
  <c r="F89" i="10" l="1"/>
  <c r="E59" i="8"/>
  <c r="A89" i="10"/>
  <c r="D59" i="8" s="1"/>
  <c r="C64" i="8"/>
  <c r="B64" i="8"/>
  <c r="A64" i="8"/>
  <c r="F90" i="10"/>
  <c r="P88" i="10" l="1"/>
  <c r="P86" i="10"/>
  <c r="G185" i="10" l="1"/>
  <c r="A185" i="10"/>
  <c r="F184" i="10"/>
  <c r="A183" i="10"/>
  <c r="A184" i="10"/>
  <c r="G183" i="10"/>
  <c r="G182" i="10"/>
  <c r="A182" i="10"/>
  <c r="A179" i="10"/>
  <c r="C6" i="21" l="1"/>
  <c r="B6" i="21"/>
  <c r="C5" i="21"/>
  <c r="B5" i="21"/>
  <c r="B2" i="21"/>
  <c r="C2" i="21"/>
  <c r="A271" i="9" l="1"/>
  <c r="A266" i="9"/>
  <c r="B266" i="9"/>
  <c r="A267" i="9"/>
  <c r="A265" i="9"/>
  <c r="B265" i="9"/>
  <c r="A259" i="9"/>
  <c r="B259" i="9"/>
  <c r="A260" i="9"/>
  <c r="B260" i="9"/>
  <c r="A261" i="9"/>
  <c r="B261" i="9"/>
  <c r="A262" i="9"/>
  <c r="B262" i="9"/>
  <c r="A258" i="9"/>
  <c r="B258" i="9"/>
  <c r="A250" i="9"/>
  <c r="B250" i="9"/>
  <c r="A251" i="9"/>
  <c r="B251" i="9"/>
  <c r="A252" i="9"/>
  <c r="B252" i="9"/>
  <c r="A253" i="9"/>
  <c r="B253" i="9"/>
  <c r="A254" i="9"/>
  <c r="B254" i="9"/>
  <c r="B248" i="9"/>
  <c r="A248" i="9"/>
  <c r="B230" i="9"/>
  <c r="A230" i="9"/>
  <c r="A228" i="9"/>
  <c r="B228" i="9"/>
  <c r="A220" i="9"/>
  <c r="B220" i="9"/>
  <c r="A221" i="9"/>
  <c r="B221" i="9"/>
  <c r="A222" i="9"/>
  <c r="A219" i="9"/>
  <c r="B219" i="9"/>
  <c r="A214" i="9"/>
  <c r="B214" i="9"/>
  <c r="A206" i="9"/>
  <c r="B206" i="9"/>
  <c r="A207" i="9"/>
  <c r="B207" i="9"/>
  <c r="A208" i="9"/>
  <c r="B208" i="9"/>
  <c r="A209" i="9"/>
  <c r="B209" i="9"/>
  <c r="A210" i="9"/>
  <c r="B210" i="9"/>
  <c r="A211" i="9"/>
  <c r="B211" i="9"/>
  <c r="A212" i="9"/>
  <c r="B212" i="9"/>
  <c r="A213" i="9"/>
  <c r="B213" i="9"/>
  <c r="A205" i="9"/>
  <c r="B205" i="9"/>
  <c r="B202" i="9"/>
  <c r="A202" i="9"/>
  <c r="A198" i="9"/>
  <c r="B198" i="9"/>
  <c r="A197" i="9"/>
  <c r="B197" i="9"/>
  <c r="A194" i="9"/>
  <c r="B194" i="9"/>
  <c r="A195" i="9"/>
  <c r="B195" i="9"/>
  <c r="A193" i="9"/>
  <c r="B193" i="9"/>
  <c r="A186" i="9"/>
  <c r="B186" i="9"/>
  <c r="A187" i="9"/>
  <c r="B187" i="9"/>
  <c r="A188" i="9"/>
  <c r="B188" i="9"/>
  <c r="A189" i="9"/>
  <c r="B189" i="9"/>
  <c r="A185" i="9"/>
  <c r="B185" i="9"/>
  <c r="A177" i="9"/>
  <c r="A178" i="9"/>
  <c r="B176" i="9"/>
  <c r="A176" i="9"/>
  <c r="A172" i="9"/>
  <c r="A164" i="9"/>
  <c r="B164" i="9"/>
  <c r="B165" i="9"/>
  <c r="A166" i="9"/>
  <c r="B166" i="9"/>
  <c r="A167" i="9"/>
  <c r="B167" i="9"/>
  <c r="A132" i="10" l="1"/>
  <c r="G138" i="10"/>
  <c r="G140" i="10"/>
  <c r="G142" i="10"/>
  <c r="G136" i="10"/>
  <c r="A136" i="10"/>
  <c r="A134" i="10"/>
  <c r="E55" i="8" l="1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8" i="8"/>
  <c r="E27" i="8"/>
  <c r="E26" i="8"/>
  <c r="E25" i="8"/>
  <c r="E24" i="8"/>
  <c r="E23" i="8"/>
  <c r="E22" i="8"/>
  <c r="E21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85" i="8" l="1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67" i="8"/>
  <c r="E63" i="8"/>
  <c r="E62" i="8"/>
  <c r="E57" i="8"/>
  <c r="E56" i="8"/>
  <c r="G203" i="10" l="1"/>
  <c r="C7" i="21" l="1"/>
  <c r="A169" i="9" l="1"/>
  <c r="B169" i="9"/>
  <c r="A170" i="9"/>
  <c r="B170" i="9"/>
  <c r="A171" i="9"/>
  <c r="B171" i="9"/>
  <c r="A103" i="9"/>
  <c r="B103" i="9"/>
  <c r="A83" i="9"/>
  <c r="B83" i="9"/>
  <c r="A84" i="9"/>
  <c r="B84" i="9"/>
  <c r="A87" i="9"/>
  <c r="B87" i="9"/>
  <c r="A77" i="8"/>
  <c r="B77" i="8"/>
  <c r="C77" i="8"/>
  <c r="A63" i="8"/>
  <c r="B63" i="8"/>
  <c r="C63" i="8"/>
  <c r="A65" i="8"/>
  <c r="B65" i="8"/>
  <c r="C65" i="8"/>
  <c r="A106" i="10"/>
  <c r="D77" i="8" s="1"/>
  <c r="F106" i="10"/>
  <c r="A88" i="10"/>
  <c r="D63" i="8" s="1"/>
  <c r="F88" i="10"/>
  <c r="A93" i="10"/>
  <c r="D65" i="8" s="1"/>
  <c r="F21" i="10" l="1"/>
  <c r="F18" i="10"/>
  <c r="G81" i="10"/>
  <c r="H81" i="10" s="1"/>
  <c r="G83" i="10"/>
  <c r="H83" i="10" s="1"/>
  <c r="F86" i="10"/>
  <c r="G96" i="10"/>
  <c r="F98" i="10"/>
  <c r="G100" i="10"/>
  <c r="H100" i="10" s="1"/>
  <c r="F101" i="10"/>
  <c r="F102" i="10"/>
  <c r="F103" i="10"/>
  <c r="F104" i="10"/>
  <c r="F105" i="10"/>
  <c r="G108" i="10"/>
  <c r="H108" i="10" s="1"/>
  <c r="F109" i="10"/>
  <c r="F110" i="10"/>
  <c r="F111" i="10"/>
  <c r="G113" i="10"/>
  <c r="H113" i="10" s="1"/>
  <c r="F114" i="10"/>
  <c r="F115" i="10"/>
  <c r="G117" i="10"/>
  <c r="H117" i="10" s="1"/>
  <c r="F118" i="10"/>
  <c r="F119" i="10"/>
  <c r="F120" i="10"/>
  <c r="F24" i="10"/>
  <c r="L81" i="10"/>
  <c r="A163" i="9"/>
  <c r="B163" i="9"/>
  <c r="L53" i="10"/>
  <c r="L9" i="10"/>
  <c r="A53" i="10"/>
  <c r="D35" i="8" s="1"/>
  <c r="G53" i="10"/>
  <c r="H53" i="10" s="1"/>
  <c r="A47" i="9"/>
  <c r="B47" i="9"/>
  <c r="A35" i="8"/>
  <c r="B35" i="8"/>
  <c r="C35" i="8"/>
  <c r="G158" i="10"/>
  <c r="G17" i="10"/>
  <c r="H17" i="10" s="1"/>
  <c r="A92" i="9"/>
  <c r="B92" i="9"/>
  <c r="K47" i="10"/>
  <c r="L47" i="10" s="1"/>
  <c r="G176" i="10"/>
  <c r="P6" i="10"/>
  <c r="A38" i="8"/>
  <c r="B38" i="8"/>
  <c r="C38" i="8"/>
  <c r="A60" i="10"/>
  <c r="D38" i="8" s="1"/>
  <c r="G60" i="10"/>
  <c r="K17" i="10"/>
  <c r="K26" i="10"/>
  <c r="L26" i="10" s="1"/>
  <c r="G192" i="10"/>
  <c r="G214" i="10"/>
  <c r="F22" i="10"/>
  <c r="B245" i="9"/>
  <c r="A245" i="9"/>
  <c r="A241" i="9"/>
  <c r="B241" i="9"/>
  <c r="A242" i="9"/>
  <c r="B242" i="9"/>
  <c r="A243" i="9"/>
  <c r="B243" i="9"/>
  <c r="A244" i="9"/>
  <c r="B244" i="9"/>
  <c r="A246" i="9"/>
  <c r="B246" i="9"/>
  <c r="A247" i="9"/>
  <c r="B247" i="9"/>
  <c r="A238" i="9"/>
  <c r="B238" i="9"/>
  <c r="A239" i="9"/>
  <c r="B239" i="9"/>
  <c r="A240" i="9"/>
  <c r="B240" i="9"/>
  <c r="B237" i="9"/>
  <c r="A237" i="9"/>
  <c r="B236" i="9"/>
  <c r="A236" i="9"/>
  <c r="B235" i="9"/>
  <c r="A235" i="9"/>
  <c r="A48" i="9"/>
  <c r="B48" i="9"/>
  <c r="A49" i="9"/>
  <c r="B49" i="9"/>
  <c r="A52" i="9"/>
  <c r="B52" i="9"/>
  <c r="A53" i="9"/>
  <c r="B53" i="9"/>
  <c r="A45" i="9"/>
  <c r="C40" i="8"/>
  <c r="B40" i="8"/>
  <c r="A40" i="8"/>
  <c r="F62" i="10"/>
  <c r="A62" i="10"/>
  <c r="D40" i="8" s="1"/>
  <c r="A142" i="10"/>
  <c r="G61" i="10"/>
  <c r="B71" i="9"/>
  <c r="A71" i="9"/>
  <c r="A17" i="9"/>
  <c r="B17" i="9"/>
  <c r="B56" i="9"/>
  <c r="A56" i="9"/>
  <c r="A54" i="9"/>
  <c r="B54" i="9"/>
  <c r="A55" i="9"/>
  <c r="B55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B59" i="9"/>
  <c r="A59" i="9"/>
  <c r="A168" i="9"/>
  <c r="B168" i="9"/>
  <c r="B162" i="9"/>
  <c r="A162" i="9"/>
  <c r="A159" i="9"/>
  <c r="A157" i="9"/>
  <c r="B157" i="9"/>
  <c r="A158" i="9"/>
  <c r="B158" i="9"/>
  <c r="B156" i="9"/>
  <c r="A156" i="9"/>
  <c r="A152" i="9"/>
  <c r="B152" i="9"/>
  <c r="A153" i="9"/>
  <c r="B151" i="9"/>
  <c r="A151" i="9"/>
  <c r="A147" i="9"/>
  <c r="B147" i="9"/>
  <c r="A148" i="9"/>
  <c r="B146" i="9"/>
  <c r="A146" i="9"/>
  <c r="A141" i="9"/>
  <c r="B141" i="9"/>
  <c r="A142" i="9"/>
  <c r="B142" i="9"/>
  <c r="A143" i="9"/>
  <c r="B140" i="9"/>
  <c r="A140" i="9"/>
  <c r="A135" i="9"/>
  <c r="B135" i="9"/>
  <c r="A136" i="9"/>
  <c r="B136" i="9"/>
  <c r="A137" i="9"/>
  <c r="B137" i="9"/>
  <c r="B134" i="9"/>
  <c r="A134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B125" i="9"/>
  <c r="A125" i="9"/>
  <c r="A116" i="9"/>
  <c r="B116" i="9"/>
  <c r="A117" i="9"/>
  <c r="B117" i="9"/>
  <c r="A118" i="9"/>
  <c r="B118" i="9"/>
  <c r="B115" i="9"/>
  <c r="A115" i="9"/>
  <c r="A112" i="9"/>
  <c r="B112" i="9"/>
  <c r="A111" i="9"/>
  <c r="A107" i="9"/>
  <c r="B107" i="9"/>
  <c r="A108" i="9"/>
  <c r="B108" i="9"/>
  <c r="B106" i="9"/>
  <c r="A106" i="9"/>
  <c r="A99" i="9"/>
  <c r="B99" i="9"/>
  <c r="A100" i="9"/>
  <c r="B100" i="9"/>
  <c r="A101" i="9"/>
  <c r="B101" i="9"/>
  <c r="A102" i="9"/>
  <c r="B102" i="9"/>
  <c r="B98" i="9"/>
  <c r="A98" i="9"/>
  <c r="A93" i="9"/>
  <c r="B93" i="9"/>
  <c r="A94" i="9"/>
  <c r="B94" i="9"/>
  <c r="A95" i="9"/>
  <c r="B95" i="9"/>
  <c r="B91" i="9"/>
  <c r="A91" i="9"/>
  <c r="A79" i="9"/>
  <c r="B79" i="9"/>
  <c r="A80" i="9"/>
  <c r="B80" i="9"/>
  <c r="A81" i="9"/>
  <c r="B81" i="9"/>
  <c r="A82" i="9"/>
  <c r="B82" i="9"/>
  <c r="B78" i="9"/>
  <c r="A78" i="9"/>
  <c r="A76" i="9"/>
  <c r="B76" i="9"/>
  <c r="B75" i="9"/>
  <c r="A75" i="9"/>
  <c r="A43" i="9"/>
  <c r="B43" i="9"/>
  <c r="A44" i="9"/>
  <c r="B44" i="9"/>
  <c r="B45" i="9"/>
  <c r="B42" i="9"/>
  <c r="A42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0" i="9"/>
  <c r="A30" i="9"/>
  <c r="A21" i="9"/>
  <c r="B21" i="9"/>
  <c r="A22" i="9"/>
  <c r="B22" i="9"/>
  <c r="A23" i="9"/>
  <c r="B23" i="9"/>
  <c r="A24" i="9"/>
  <c r="B24" i="9"/>
  <c r="A25" i="9"/>
  <c r="B25" i="9"/>
  <c r="A26" i="9"/>
  <c r="B20" i="9"/>
  <c r="A20" i="9"/>
  <c r="A12" i="9"/>
  <c r="B12" i="9"/>
  <c r="A13" i="9"/>
  <c r="B13" i="9"/>
  <c r="A14" i="9"/>
  <c r="B14" i="9"/>
  <c r="A15" i="9"/>
  <c r="B15" i="9"/>
  <c r="A16" i="9"/>
  <c r="B16" i="9"/>
  <c r="B11" i="9"/>
  <c r="A11" i="9"/>
  <c r="B8" i="9"/>
  <c r="A5" i="9"/>
  <c r="B5" i="9"/>
  <c r="A6" i="9"/>
  <c r="B6" i="9"/>
  <c r="A7" i="9"/>
  <c r="B7" i="9"/>
  <c r="B4" i="9"/>
  <c r="A4" i="9"/>
  <c r="B78" i="10"/>
  <c r="C5" i="10"/>
  <c r="L35" i="10"/>
  <c r="K108" i="10"/>
  <c r="L108" i="10" s="1"/>
  <c r="K113" i="10"/>
  <c r="L113" i="10" s="1"/>
  <c r="K117" i="10"/>
  <c r="L117" i="10" s="1"/>
  <c r="G9" i="10"/>
  <c r="H9" i="10" s="1"/>
  <c r="A73" i="8"/>
  <c r="A74" i="8"/>
  <c r="A75" i="8"/>
  <c r="A76" i="8"/>
  <c r="L78" i="10"/>
  <c r="L14" i="10"/>
  <c r="A57" i="10"/>
  <c r="D37" i="8" s="1"/>
  <c r="A37" i="8"/>
  <c r="B37" i="8"/>
  <c r="C37" i="8"/>
  <c r="G57" i="10"/>
  <c r="H57" i="10" s="1"/>
  <c r="L57" i="10"/>
  <c r="F193" i="10"/>
  <c r="A193" i="10"/>
  <c r="A85" i="8"/>
  <c r="A84" i="8"/>
  <c r="A83" i="8"/>
  <c r="A82" i="8"/>
  <c r="A81" i="8"/>
  <c r="A79" i="8"/>
  <c r="A80" i="8"/>
  <c r="A78" i="8"/>
  <c r="A72" i="8"/>
  <c r="A71" i="8"/>
  <c r="A67" i="8"/>
  <c r="A61" i="8"/>
  <c r="A62" i="8"/>
  <c r="A59" i="8"/>
  <c r="B59" i="8"/>
  <c r="C59" i="8"/>
  <c r="A60" i="8"/>
  <c r="B60" i="8"/>
  <c r="C60" i="8"/>
  <c r="A58" i="8"/>
  <c r="B58" i="8"/>
  <c r="C58" i="8"/>
  <c r="A83" i="10"/>
  <c r="D57" i="8" s="1"/>
  <c r="A57" i="8"/>
  <c r="B57" i="8"/>
  <c r="C57" i="8"/>
  <c r="A81" i="10"/>
  <c r="D56" i="8" s="1"/>
  <c r="B56" i="8"/>
  <c r="C56" i="8"/>
  <c r="A56" i="8"/>
  <c r="A73" i="10"/>
  <c r="D55" i="8" s="1"/>
  <c r="A55" i="8"/>
  <c r="B55" i="8"/>
  <c r="C55" i="8"/>
  <c r="A48" i="8"/>
  <c r="A49" i="8"/>
  <c r="A50" i="8"/>
  <c r="A51" i="8"/>
  <c r="A52" i="8"/>
  <c r="A53" i="8"/>
  <c r="A54" i="8"/>
  <c r="A41" i="8"/>
  <c r="B41" i="8"/>
  <c r="C41" i="8"/>
  <c r="A63" i="10"/>
  <c r="D41" i="8" s="1"/>
  <c r="A42" i="8"/>
  <c r="B42" i="8"/>
  <c r="C42" i="8"/>
  <c r="A64" i="10"/>
  <c r="D42" i="8" s="1"/>
  <c r="A43" i="8"/>
  <c r="B43" i="8"/>
  <c r="C43" i="8"/>
  <c r="A65" i="10"/>
  <c r="D43" i="8" s="1"/>
  <c r="A61" i="10"/>
  <c r="D39" i="8" s="1"/>
  <c r="B39" i="8"/>
  <c r="C39" i="8"/>
  <c r="A39" i="8"/>
  <c r="A55" i="10"/>
  <c r="D36" i="8" s="1"/>
  <c r="A36" i="8"/>
  <c r="B36" i="8"/>
  <c r="C36" i="8"/>
  <c r="A34" i="8"/>
  <c r="B34" i="8"/>
  <c r="C34" i="8"/>
  <c r="A51" i="10"/>
  <c r="D34" i="8" s="1"/>
  <c r="A32" i="8"/>
  <c r="B32" i="8"/>
  <c r="C32" i="8"/>
  <c r="A49" i="10"/>
  <c r="D32" i="8" s="1"/>
  <c r="A33" i="8"/>
  <c r="B33" i="8"/>
  <c r="C33" i="8"/>
  <c r="A50" i="10"/>
  <c r="D33" i="8" s="1"/>
  <c r="A31" i="8"/>
  <c r="A22" i="8"/>
  <c r="B22" i="8"/>
  <c r="C22" i="8"/>
  <c r="A37" i="10"/>
  <c r="D22" i="8" s="1"/>
  <c r="A23" i="8"/>
  <c r="B23" i="8"/>
  <c r="C23" i="8"/>
  <c r="A38" i="10"/>
  <c r="D23" i="8" s="1"/>
  <c r="A24" i="8"/>
  <c r="B24" i="8"/>
  <c r="C24" i="8"/>
  <c r="A39" i="10"/>
  <c r="D24" i="8" s="1"/>
  <c r="A25" i="8"/>
  <c r="B25" i="8"/>
  <c r="C25" i="8"/>
  <c r="A40" i="10"/>
  <c r="D25" i="8" s="1"/>
  <c r="A26" i="8"/>
  <c r="B26" i="8"/>
  <c r="C26" i="8"/>
  <c r="A41" i="10"/>
  <c r="D26" i="8" s="1"/>
  <c r="A27" i="8"/>
  <c r="B27" i="8"/>
  <c r="C27" i="8"/>
  <c r="A42" i="10"/>
  <c r="D27" i="8" s="1"/>
  <c r="A28" i="8"/>
  <c r="B28" i="8"/>
  <c r="C28" i="8"/>
  <c r="A43" i="10"/>
  <c r="D28" i="8" s="1"/>
  <c r="A21" i="8"/>
  <c r="A14" i="8"/>
  <c r="B14" i="8"/>
  <c r="C14" i="8"/>
  <c r="A28" i="10"/>
  <c r="D14" i="8" s="1"/>
  <c r="A15" i="8"/>
  <c r="B15" i="8"/>
  <c r="C15" i="8"/>
  <c r="A29" i="10"/>
  <c r="D15" i="8" s="1"/>
  <c r="A16" i="8"/>
  <c r="B16" i="8"/>
  <c r="C16" i="8"/>
  <c r="A30" i="10"/>
  <c r="D16" i="8" s="1"/>
  <c r="A17" i="8"/>
  <c r="B17" i="8"/>
  <c r="C17" i="8"/>
  <c r="A31" i="10"/>
  <c r="D17" i="8" s="1"/>
  <c r="A18" i="8"/>
  <c r="B18" i="8"/>
  <c r="C18" i="8"/>
  <c r="A32" i="10"/>
  <c r="D18" i="8" s="1"/>
  <c r="A19" i="8"/>
  <c r="B19" i="8"/>
  <c r="C19" i="8"/>
  <c r="A33" i="10"/>
  <c r="D19" i="8" s="1"/>
  <c r="A13" i="8"/>
  <c r="A12" i="8"/>
  <c r="B12" i="8"/>
  <c r="C12" i="8"/>
  <c r="A24" i="10"/>
  <c r="D12" i="8" s="1"/>
  <c r="A7" i="8"/>
  <c r="B7" i="8"/>
  <c r="C7" i="8"/>
  <c r="A19" i="10"/>
  <c r="D7" i="8" s="1"/>
  <c r="A8" i="8"/>
  <c r="B8" i="8"/>
  <c r="C8" i="8"/>
  <c r="A20" i="10"/>
  <c r="D8" i="8" s="1"/>
  <c r="A9" i="8"/>
  <c r="B9" i="8"/>
  <c r="C9" i="8"/>
  <c r="A21" i="10"/>
  <c r="D9" i="8" s="1"/>
  <c r="A10" i="8"/>
  <c r="B10" i="8"/>
  <c r="C10" i="8"/>
  <c r="A22" i="10"/>
  <c r="D10" i="8" s="1"/>
  <c r="A11" i="8"/>
  <c r="B11" i="8"/>
  <c r="C11" i="8"/>
  <c r="A23" i="10"/>
  <c r="D11" i="8" s="1"/>
  <c r="A6" i="8"/>
  <c r="A3" i="8"/>
  <c r="A4" i="8"/>
  <c r="A5" i="8"/>
  <c r="A2" i="8"/>
  <c r="G191" i="10"/>
  <c r="G174" i="10"/>
  <c r="G173" i="10"/>
  <c r="G165" i="10"/>
  <c r="G215" i="10"/>
  <c r="G205" i="10"/>
  <c r="G204" i="10"/>
  <c r="G152" i="10"/>
  <c r="G151" i="10"/>
  <c r="F65" i="10"/>
  <c r="F64" i="10"/>
  <c r="A59" i="10"/>
  <c r="J78" i="10"/>
  <c r="K5" i="10"/>
  <c r="K78" i="10" s="1"/>
  <c r="G5" i="10"/>
  <c r="G188" i="10" s="1"/>
  <c r="F179" i="10"/>
  <c r="E5" i="10"/>
  <c r="E78" i="10" s="1"/>
  <c r="F194" i="10"/>
  <c r="A195" i="10"/>
  <c r="A192" i="10"/>
  <c r="A194" i="10"/>
  <c r="A191" i="10"/>
  <c r="A188" i="10"/>
  <c r="F175" i="10"/>
  <c r="A176" i="10"/>
  <c r="A175" i="10"/>
  <c r="A174" i="10"/>
  <c r="A173" i="10"/>
  <c r="A170" i="10"/>
  <c r="F166" i="10"/>
  <c r="A167" i="10"/>
  <c r="A165" i="10"/>
  <c r="A166" i="10"/>
  <c r="A164" i="10"/>
  <c r="A161" i="10"/>
  <c r="F216" i="10"/>
  <c r="A217" i="10"/>
  <c r="A214" i="10"/>
  <c r="A215" i="10"/>
  <c r="A216" i="10"/>
  <c r="A213" i="10"/>
  <c r="A148" i="10"/>
  <c r="A210" i="10"/>
  <c r="A207" i="10"/>
  <c r="A200" i="10"/>
  <c r="A158" i="10"/>
  <c r="F206" i="10"/>
  <c r="A204" i="10"/>
  <c r="A205" i="10"/>
  <c r="A206" i="10"/>
  <c r="A203" i="10"/>
  <c r="F153" i="10"/>
  <c r="F154" i="10"/>
  <c r="F155" i="10"/>
  <c r="F156" i="10"/>
  <c r="F157" i="10"/>
  <c r="F20" i="10"/>
  <c r="A152" i="10"/>
  <c r="A153" i="10"/>
  <c r="A154" i="10"/>
  <c r="A155" i="10"/>
  <c r="A156" i="10"/>
  <c r="A157" i="10"/>
  <c r="A126" i="10"/>
  <c r="A124" i="10"/>
  <c r="A122" i="10"/>
  <c r="A151" i="10"/>
  <c r="A119" i="10"/>
  <c r="D84" i="8" s="1"/>
  <c r="A120" i="10"/>
  <c r="D85" i="8" s="1"/>
  <c r="A118" i="10"/>
  <c r="D83" i="8" s="1"/>
  <c r="A117" i="10"/>
  <c r="A115" i="10"/>
  <c r="D82" i="8" s="1"/>
  <c r="A114" i="10"/>
  <c r="D81" i="8" s="1"/>
  <c r="A113" i="10"/>
  <c r="A110" i="10"/>
  <c r="A111" i="10"/>
  <c r="D80" i="8" s="1"/>
  <c r="A109" i="10"/>
  <c r="D78" i="8" s="1"/>
  <c r="A108" i="10"/>
  <c r="A102" i="10"/>
  <c r="D73" i="8" s="1"/>
  <c r="A103" i="10"/>
  <c r="D74" i="8" s="1"/>
  <c r="A104" i="10"/>
  <c r="D75" i="8" s="1"/>
  <c r="A105" i="10"/>
  <c r="D76" i="8" s="1"/>
  <c r="A101" i="10"/>
  <c r="D72" i="8" s="1"/>
  <c r="A100" i="10"/>
  <c r="A98" i="10"/>
  <c r="D71" i="8" s="1"/>
  <c r="A97" i="10"/>
  <c r="D67" i="8" s="1"/>
  <c r="A96" i="10"/>
  <c r="A86" i="10"/>
  <c r="D62" i="8" s="1"/>
  <c r="A85" i="10"/>
  <c r="L83" i="10"/>
  <c r="L55" i="10"/>
  <c r="G73" i="10"/>
  <c r="G55" i="10"/>
  <c r="H55" i="10" s="1"/>
  <c r="F50" i="10"/>
  <c r="F51" i="10"/>
  <c r="B3" i="8"/>
  <c r="C3" i="8"/>
  <c r="B4" i="8"/>
  <c r="C4" i="8"/>
  <c r="B5" i="8"/>
  <c r="C5" i="8"/>
  <c r="B6" i="8"/>
  <c r="C6" i="8"/>
  <c r="B13" i="8"/>
  <c r="C13" i="8"/>
  <c r="B21" i="8"/>
  <c r="C21" i="8"/>
  <c r="B31" i="8"/>
  <c r="C31" i="8"/>
  <c r="B61" i="8"/>
  <c r="C61" i="8"/>
  <c r="B62" i="8"/>
  <c r="C62" i="8"/>
  <c r="B67" i="8"/>
  <c r="C67" i="8"/>
  <c r="B71" i="8"/>
  <c r="C71" i="8"/>
  <c r="B72" i="8"/>
  <c r="C72" i="8"/>
  <c r="B73" i="8"/>
  <c r="C73" i="8"/>
  <c r="B74" i="8"/>
  <c r="C74" i="8"/>
  <c r="B75" i="8"/>
  <c r="C75" i="8"/>
  <c r="B76" i="8"/>
  <c r="C76" i="8"/>
  <c r="B78" i="8"/>
  <c r="C78" i="8"/>
  <c r="B79" i="8"/>
  <c r="C79" i="8"/>
  <c r="B80" i="8"/>
  <c r="C80" i="8"/>
  <c r="B81" i="8"/>
  <c r="C81" i="8"/>
  <c r="B82" i="8"/>
  <c r="C82" i="8"/>
  <c r="B83" i="8"/>
  <c r="C83" i="8"/>
  <c r="B84" i="8"/>
  <c r="C84" i="8"/>
  <c r="B85" i="8"/>
  <c r="C85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C2" i="8"/>
  <c r="B2" i="8"/>
  <c r="O6" i="10"/>
  <c r="O4" i="10"/>
  <c r="A48" i="10"/>
  <c r="D31" i="8" s="1"/>
  <c r="A36" i="10"/>
  <c r="D21" i="8" s="1"/>
  <c r="A27" i="10"/>
  <c r="D13" i="8" s="1"/>
  <c r="A18" i="10"/>
  <c r="D6" i="8" s="1"/>
  <c r="A8" i="10"/>
  <c r="D4" i="8" s="1"/>
  <c r="A9" i="10"/>
  <c r="D5" i="8" s="1"/>
  <c r="A7" i="10"/>
  <c r="D2" i="8" s="1"/>
  <c r="F49" i="10"/>
  <c r="F48" i="10"/>
  <c r="F37" i="10"/>
  <c r="F38" i="10"/>
  <c r="F39" i="10"/>
  <c r="F40" i="10"/>
  <c r="F41" i="10"/>
  <c r="F42" i="10"/>
  <c r="F43" i="10"/>
  <c r="F36" i="10"/>
  <c r="F28" i="10"/>
  <c r="F29" i="10"/>
  <c r="F30" i="10"/>
  <c r="F31" i="10"/>
  <c r="F32" i="10"/>
  <c r="F33" i="10"/>
  <c r="F19" i="10"/>
  <c r="F23" i="10"/>
  <c r="G8" i="10"/>
  <c r="H8" i="10" s="1"/>
  <c r="G7" i="10"/>
  <c r="H7" i="10" s="1"/>
  <c r="L8" i="10"/>
  <c r="A47" i="10"/>
  <c r="A35" i="10"/>
  <c r="A26" i="10"/>
  <c r="A17" i="10"/>
  <c r="A10" i="10"/>
  <c r="F188" i="10"/>
  <c r="F170" i="10"/>
  <c r="F161" i="10"/>
  <c r="F210" i="10"/>
  <c r="F200" i="10"/>
  <c r="F148" i="10"/>
  <c r="H78" i="10"/>
  <c r="F78" i="10"/>
  <c r="D78" i="10"/>
  <c r="J14" i="10"/>
  <c r="H14" i="10"/>
  <c r="F14" i="10"/>
  <c r="D14" i="10"/>
  <c r="B14" i="10"/>
  <c r="G59" i="10"/>
  <c r="H59" i="10" s="1"/>
  <c r="G195" i="10"/>
  <c r="G167" i="10"/>
  <c r="G35" i="10"/>
  <c r="H35" i="10" s="1"/>
  <c r="G10" i="10"/>
  <c r="H10" i="10" s="1"/>
  <c r="G47" i="10"/>
  <c r="H47" i="10" s="1"/>
  <c r="G217" i="10"/>
  <c r="G164" i="10"/>
  <c r="F63" i="10"/>
  <c r="G207" i="10"/>
  <c r="G26" i="10"/>
  <c r="H26" i="10" s="1"/>
  <c r="F27" i="10"/>
  <c r="G213" i="10"/>
  <c r="L96" i="10"/>
  <c r="L17" i="10" l="1"/>
  <c r="K75" i="10"/>
  <c r="D79" i="8"/>
  <c r="G179" i="10"/>
  <c r="G210" i="10"/>
  <c r="G170" i="10"/>
  <c r="L59" i="10"/>
  <c r="K7" i="10"/>
  <c r="E2" i="8" s="1"/>
  <c r="C78" i="10"/>
  <c r="K14" i="10"/>
  <c r="C14" i="10"/>
  <c r="G148" i="10"/>
  <c r="G78" i="10"/>
  <c r="G200" i="10"/>
  <c r="G14" i="10"/>
  <c r="G161" i="10"/>
  <c r="E14" i="10"/>
  <c r="Q6" i="10"/>
  <c r="K10" i="10" l="1"/>
  <c r="L10" i="10" s="1"/>
  <c r="L7" i="10"/>
  <c r="K100" i="10" l="1"/>
  <c r="L100" i="10" l="1"/>
  <c r="L75" i="10" l="1"/>
  <c r="G122" i="10"/>
  <c r="G75" i="10"/>
  <c r="G132" i="10"/>
  <c r="G126" i="10"/>
  <c r="P90" i="10" s="1"/>
  <c r="G124" i="10"/>
  <c r="H85" i="10"/>
  <c r="J90" i="10" l="1"/>
  <c r="E60" i="8" s="1"/>
  <c r="H124" i="10"/>
  <c r="H75" i="10"/>
  <c r="H126" i="10"/>
  <c r="H122" i="10"/>
  <c r="K85" i="10" l="1"/>
  <c r="L85" i="10" s="1"/>
  <c r="K122" i="10" l="1"/>
  <c r="K124" i="10" s="1"/>
  <c r="L122" i="10" l="1"/>
  <c r="L124" i="10"/>
  <c r="K126" i="10"/>
  <c r="P14" i="10" l="1"/>
  <c r="P18" i="10" s="1"/>
  <c r="P19" i="10" s="1"/>
  <c r="L126" i="10"/>
</calcChain>
</file>

<file path=xl/sharedStrings.xml><?xml version="1.0" encoding="utf-8"?>
<sst xmlns="http://schemas.openxmlformats.org/spreadsheetml/2006/main" count="1084" uniqueCount="423">
  <si>
    <t xml:space="preserve">Budget </t>
  </si>
  <si>
    <t xml:space="preserve">Regnskab </t>
  </si>
  <si>
    <t xml:space="preserve">Difference </t>
  </si>
  <si>
    <t>Konto</t>
  </si>
  <si>
    <t>%</t>
  </si>
  <si>
    <t>Fadøl</t>
  </si>
  <si>
    <t>Andre indtægter</t>
  </si>
  <si>
    <t>Renter og gebyrer</t>
  </si>
  <si>
    <t>Revision</t>
  </si>
  <si>
    <t>Bestyrelsen</t>
  </si>
  <si>
    <t>Diverse</t>
  </si>
  <si>
    <t>TV</t>
  </si>
  <si>
    <t xml:space="preserve"> hus/mdr</t>
  </si>
  <si>
    <t>Note</t>
  </si>
  <si>
    <t>Renovation</t>
  </si>
  <si>
    <t>Kontingent</t>
  </si>
  <si>
    <t>Kontonr</t>
  </si>
  <si>
    <t>Fra dato</t>
  </si>
  <si>
    <t>Til dato</t>
  </si>
  <si>
    <t>Tekst</t>
  </si>
  <si>
    <t>Total beløb</t>
  </si>
  <si>
    <t>KontoType</t>
  </si>
  <si>
    <t>DebetKredit</t>
  </si>
  <si>
    <t>Korrektion beløb</t>
  </si>
  <si>
    <t>Kredit</t>
  </si>
  <si>
    <t>Udv. vedl. FÆ-hus</t>
  </si>
  <si>
    <t>Indv. vedl. FÆ-hus</t>
  </si>
  <si>
    <t>Vedl. fællesarealer</t>
  </si>
  <si>
    <t>Inventar</t>
  </si>
  <si>
    <t>Køkkenudstyr</t>
  </si>
  <si>
    <t>EL-artik, pærer mv</t>
  </si>
  <si>
    <t>Krydderier</t>
  </si>
  <si>
    <t>Gaver</t>
  </si>
  <si>
    <t>Fortæring arbejdsweekends</t>
  </si>
  <si>
    <t>Fortæring generalforsamling</t>
  </si>
  <si>
    <t>Adventsarrangementer</t>
  </si>
  <si>
    <t>Fastelavn</t>
  </si>
  <si>
    <t>Bakkeweekend</t>
  </si>
  <si>
    <t>Skt. Hans</t>
  </si>
  <si>
    <t>Telefon / bredbånd</t>
  </si>
  <si>
    <t>Hjemmeside/e-mail</t>
  </si>
  <si>
    <t>Ejendomsskat</t>
  </si>
  <si>
    <t>Vaskemaskiner, 2011</t>
  </si>
  <si>
    <t>Andre renter og gebyrer</t>
  </si>
  <si>
    <t>EL</t>
  </si>
  <si>
    <t>Vand</t>
  </si>
  <si>
    <t>Drift af bestyrelsen</t>
  </si>
  <si>
    <t>Kontorartikler og Porto</t>
  </si>
  <si>
    <t>Økonomisystem</t>
  </si>
  <si>
    <t>GEF-regnskab</t>
  </si>
  <si>
    <t>IS-regnskab</t>
  </si>
  <si>
    <t>Tab på Bofæller</t>
  </si>
  <si>
    <t>Afrundingsfejl på Sol-projekt</t>
  </si>
  <si>
    <t>Diverse omkostninger</t>
  </si>
  <si>
    <t>Vask opkrævet</t>
  </si>
  <si>
    <t>Vask Fælleshuset</t>
  </si>
  <si>
    <t>Vaskemidler</t>
  </si>
  <si>
    <t>Gas</t>
  </si>
  <si>
    <t>Salttabletter</t>
  </si>
  <si>
    <t>Vand opkrævet</t>
  </si>
  <si>
    <t>Vand Fælleshuset</t>
  </si>
  <si>
    <t>Vaskeriet</t>
  </si>
  <si>
    <t>Vand Fredensborg Forsyning</t>
  </si>
  <si>
    <t>Varme opkrævet</t>
  </si>
  <si>
    <t>Varme Fælleshuset</t>
  </si>
  <si>
    <t>Renovation opkrævet</t>
  </si>
  <si>
    <t>Renovation Fælleshuset</t>
  </si>
  <si>
    <t>Renovation Fredensborg Forsyning</t>
  </si>
  <si>
    <t>TV opkrævet</t>
  </si>
  <si>
    <t>TV Fælleshuset</t>
  </si>
  <si>
    <t>YouSee og andre</t>
  </si>
  <si>
    <t>Tuborg og andre</t>
  </si>
  <si>
    <t xml:space="preserve">Kredit </t>
  </si>
  <si>
    <t>GEF</t>
  </si>
  <si>
    <t>Navn</t>
  </si>
  <si>
    <t>SumFra/suminterval</t>
  </si>
  <si>
    <t>MomsKode</t>
  </si>
  <si>
    <t>ModKonto</t>
  </si>
  <si>
    <t>OverfoerPrimoTil</t>
  </si>
  <si>
    <t>Afdeling</t>
  </si>
  <si>
    <t>NoegletalsKode</t>
  </si>
  <si>
    <t>Kode1</t>
  </si>
  <si>
    <t>Kode2</t>
  </si>
  <si>
    <t>Tvungen afdeling</t>
  </si>
  <si>
    <t>RESULTATOPGØRELSE</t>
  </si>
  <si>
    <t>Fællesindtægter i alt</t>
  </si>
  <si>
    <t>Debet</t>
  </si>
  <si>
    <t>Rep og vedligehold</t>
  </si>
  <si>
    <t>Rep og vedligehold i alt</t>
  </si>
  <si>
    <t>Drift Fælleshus mv.</t>
  </si>
  <si>
    <t>Drift Fælleshus mv. i alt</t>
  </si>
  <si>
    <t>Arrang/kultur/gaver</t>
  </si>
  <si>
    <t>Informationsteknologi</t>
  </si>
  <si>
    <t>Informationsteknologi i alt</t>
  </si>
  <si>
    <t>Dækningsbidrag</t>
  </si>
  <si>
    <t>Renter og gebyrer i alt</t>
  </si>
  <si>
    <t>Drift af bestyrelsen i alt</t>
  </si>
  <si>
    <t>Revision i alt</t>
  </si>
  <si>
    <t>Diverse i alt</t>
  </si>
  <si>
    <t>Cigarkasserne</t>
  </si>
  <si>
    <t>Vaskeriet i alt</t>
  </si>
  <si>
    <t>Vand i alt</t>
  </si>
  <si>
    <t>Renovation i alt</t>
  </si>
  <si>
    <t>TV i alt</t>
  </si>
  <si>
    <t>Fadøl i alt</t>
  </si>
  <si>
    <t>Samlet resultat</t>
  </si>
  <si>
    <t>AKTIVER</t>
  </si>
  <si>
    <t>Anlægsaktiver</t>
  </si>
  <si>
    <t>Fastejendom</t>
  </si>
  <si>
    <t>Fastejendom i alt</t>
  </si>
  <si>
    <t>Anlægsaktiver i alt</t>
  </si>
  <si>
    <t>Omsætningsaktiver</t>
  </si>
  <si>
    <t>Tilgodehavender hos Bofæller</t>
  </si>
  <si>
    <t>Tilgodehavender fra Bofæller i alt</t>
  </si>
  <si>
    <t>Øvrige tilgodehavender</t>
  </si>
  <si>
    <t>Forudbetalte poster</t>
  </si>
  <si>
    <t>Fadøl - lagerbeholdning</t>
  </si>
  <si>
    <t>Øvrige tilgodehavender i alt</t>
  </si>
  <si>
    <t>Likvidebeholdninger</t>
  </si>
  <si>
    <t>Likvidebeholdninger i alt</t>
  </si>
  <si>
    <t>Omsætningsaktiver i alt</t>
  </si>
  <si>
    <t>AKTIVER I ALT</t>
  </si>
  <si>
    <t>PASSIVER</t>
  </si>
  <si>
    <t>EGENKAPITAL</t>
  </si>
  <si>
    <t>Egenkapital primo</t>
  </si>
  <si>
    <t>Periodens resultat</t>
  </si>
  <si>
    <t>1000..4990</t>
  </si>
  <si>
    <t>EGENKAPITAL I ALT</t>
  </si>
  <si>
    <t>1000..4990;6100..6199</t>
  </si>
  <si>
    <t>Hensættelser</t>
  </si>
  <si>
    <t>Øvrige hensættelser</t>
  </si>
  <si>
    <t>Hensættelser i alt</t>
  </si>
  <si>
    <t>Gæld til banker</t>
  </si>
  <si>
    <t>Gæld til banker i alt</t>
  </si>
  <si>
    <t>Øvrig gæld</t>
  </si>
  <si>
    <t>Skyldige omkostninger</t>
  </si>
  <si>
    <t>Øvrig gæld i alt</t>
  </si>
  <si>
    <t>Gæld i alt</t>
  </si>
  <si>
    <t>PASSIVER I ALT</t>
  </si>
  <si>
    <t>1000..4990;6000..8999</t>
  </si>
  <si>
    <t>Analyse/fejlkonto</t>
  </si>
  <si>
    <t>Nulkontrol</t>
  </si>
  <si>
    <t>Fælles indtægter</t>
  </si>
  <si>
    <t>Faste udgifter</t>
  </si>
  <si>
    <t>Debit</t>
  </si>
  <si>
    <t>Varme</t>
  </si>
  <si>
    <t>Nr.</t>
  </si>
  <si>
    <t>Budgetteret</t>
  </si>
  <si>
    <t>Perioden</t>
  </si>
  <si>
    <t>Difference</t>
  </si>
  <si>
    <t>Arr./kultur/gaver i alt</t>
  </si>
  <si>
    <t>Vask</t>
  </si>
  <si>
    <t>Landbrugsjord - 7 B</t>
  </si>
  <si>
    <t>Fælleshus - 9 N</t>
  </si>
  <si>
    <t>Gæld</t>
  </si>
  <si>
    <t>Gevinst på valutakursdiff, debitorer</t>
  </si>
  <si>
    <t>Gevinst på valutakursdiff, kreditorer</t>
  </si>
  <si>
    <t>Ændring</t>
  </si>
  <si>
    <t xml:space="preserve">Regnskabsår </t>
  </si>
  <si>
    <t>Budgetår</t>
  </si>
  <si>
    <t>:   fra</t>
  </si>
  <si>
    <t>til</t>
  </si>
  <si>
    <t>Deltagerbetalte arrangementer</t>
  </si>
  <si>
    <t>Cigarkasserne i alt</t>
  </si>
  <si>
    <t>Kultur opkrævet</t>
  </si>
  <si>
    <t>Kultur udlæg</t>
  </si>
  <si>
    <t>Deltagerbetalte arrangementer i alt</t>
  </si>
  <si>
    <t>TV + licens</t>
  </si>
  <si>
    <t>Ressourceforbrug i Fælleshuset</t>
  </si>
  <si>
    <t>Ressourceforbrug i Fælleshuset i alt</t>
  </si>
  <si>
    <t>Øredifferencer</t>
  </si>
  <si>
    <t>Årets resultat for Bakken</t>
  </si>
  <si>
    <t>Vand vaskeriet</t>
  </si>
  <si>
    <t>Resultat:</t>
  </si>
  <si>
    <t>-  Bakken</t>
  </si>
  <si>
    <t>Balance:</t>
  </si>
  <si>
    <t>Får</t>
  </si>
  <si>
    <t>Årets udvikling/får</t>
  </si>
  <si>
    <t>Får i alt</t>
  </si>
  <si>
    <t>Regulering af lagerbeholdning</t>
  </si>
  <si>
    <t>Fåreprodukter- lagerbeholdning</t>
  </si>
  <si>
    <t>Hegn og hus/får</t>
  </si>
  <si>
    <t>Besætning/får</t>
  </si>
  <si>
    <t>Rep. vaskeriet</t>
  </si>
  <si>
    <t>Årets reguleringer af egenkapitalen</t>
  </si>
  <si>
    <t>-  GEF ændring</t>
  </si>
  <si>
    <t xml:space="preserve">Udløber </t>
  </si>
  <si>
    <t>-  Nyt GEF</t>
  </si>
  <si>
    <t>Markedsføring</t>
  </si>
  <si>
    <t>Stigning</t>
  </si>
  <si>
    <t>Træk på kassekreditten</t>
  </si>
  <si>
    <t>Arbejdskapital</t>
  </si>
  <si>
    <t>Fester/kultur</t>
  </si>
  <si>
    <t>Nordea - 3495871427</t>
  </si>
  <si>
    <t>Nordea Prioritet</t>
  </si>
  <si>
    <t>Diverse Fælleshus</t>
  </si>
  <si>
    <t>Lys, blomster</t>
  </si>
  <si>
    <t>Cigarkasser der IKKE kan stemme per 31/12 - se seperate regnskaber på hjemmesiden</t>
  </si>
  <si>
    <t>Formueopgørelse</t>
  </si>
  <si>
    <t>Salg af fåreprodukter (Brutto)</t>
  </si>
  <si>
    <t>Rabat på fåreprodukter</t>
  </si>
  <si>
    <t>Asfalt</t>
  </si>
  <si>
    <t>Svællemuren</t>
  </si>
  <si>
    <t>Tilgodehavender - øvrige debitorer</t>
  </si>
  <si>
    <t>Projekt 8 - ikke brugt</t>
  </si>
  <si>
    <t>Projekt 9 - ikke brugt</t>
  </si>
  <si>
    <t>Cigarkasser der skal stemme per 31/12 indenfor +/- 200 dkk</t>
  </si>
  <si>
    <t>Rengøringsmidler/-artikler, papir</t>
  </si>
  <si>
    <t>Rapporter &gt; Regnskab &gt;</t>
  </si>
  <si>
    <t>Øvrige Fåreindtægter</t>
  </si>
  <si>
    <t>Nordea renteudgift</t>
  </si>
  <si>
    <t>Nordea renteindtægt</t>
  </si>
  <si>
    <t>Rep maskiner og anlæg</t>
  </si>
  <si>
    <t>Tidsskrifter</t>
  </si>
  <si>
    <t>Nyanskaffelser</t>
  </si>
  <si>
    <t>Øl fustager opkrævet</t>
  </si>
  <si>
    <t>Øl fustager Fælleshuset</t>
  </si>
  <si>
    <t>Kultur Fælleshuset</t>
  </si>
  <si>
    <t>hus/girokort</t>
  </si>
  <si>
    <t xml:space="preserve">Rykkergebyr </t>
  </si>
  <si>
    <t> </t>
  </si>
  <si>
    <t xml:space="preserve"> </t>
  </si>
  <si>
    <t/>
  </si>
  <si>
    <t>Genanskaffelser</t>
  </si>
  <si>
    <t>Kompressorer, 2018</t>
  </si>
  <si>
    <t>5-årsplanen</t>
  </si>
  <si>
    <t>Fase</t>
  </si>
  <si>
    <t>Versionsnr</t>
  </si>
  <si>
    <t>1.x</t>
  </si>
  <si>
    <t>Beskrivelse</t>
  </si>
  <si>
    <t>2.x</t>
  </si>
  <si>
    <t>Bestyrelsens arbejdsversioner frem til indkaldelse til Generalforsamlingen</t>
  </si>
  <si>
    <t>Kassererens arbejdsversioner frem til oplæg til bestyrelsen</t>
  </si>
  <si>
    <t>3.x</t>
  </si>
  <si>
    <t>Jordvarme - kompressorerne, 2018</t>
  </si>
  <si>
    <t>Projekt 6 - ikke brugt</t>
  </si>
  <si>
    <t>Projekt 7 - ikke brugt</t>
  </si>
  <si>
    <t>Projekt 10 - ikke brugt</t>
  </si>
  <si>
    <t>Projekt 11 - ikke brugt</t>
  </si>
  <si>
    <t>Projekt 12 - ikke brugt</t>
  </si>
  <si>
    <t>Generalforsamlingens endelige versioner - før (3.a) og efter generalforsamlingen (3.b)</t>
  </si>
  <si>
    <t>Saldobalance</t>
  </si>
  <si>
    <t>Kontobeskrivelse</t>
  </si>
  <si>
    <t>EL-biler</t>
  </si>
  <si>
    <t>Gas køkken</t>
  </si>
  <si>
    <t>EL/varme i alt</t>
  </si>
  <si>
    <t>Jordvarme - jordelen, 2018</t>
  </si>
  <si>
    <t>Rest</t>
  </si>
  <si>
    <t>Rep og service af jordvarme</t>
  </si>
  <si>
    <t>Ovn, 2020</t>
  </si>
  <si>
    <t>D269</t>
  </si>
  <si>
    <t>D303</t>
  </si>
  <si>
    <t>D298</t>
  </si>
  <si>
    <t>D283</t>
  </si>
  <si>
    <t>D288</t>
  </si>
  <si>
    <t>Indestående</t>
  </si>
  <si>
    <t xml:space="preserve">Bakkens kontanter </t>
  </si>
  <si>
    <t>Kortfristet gæld</t>
  </si>
  <si>
    <t>Kortfristet gæld i alt</t>
  </si>
  <si>
    <t>Kassekredit</t>
  </si>
  <si>
    <t>Træk</t>
  </si>
  <si>
    <t>Langfristet gæld</t>
  </si>
  <si>
    <t>Disponibelt</t>
  </si>
  <si>
    <t>Opsparring</t>
  </si>
  <si>
    <t>Pris</t>
  </si>
  <si>
    <t>Langfristet gæld i alt</t>
  </si>
  <si>
    <t>Ikke i brug</t>
  </si>
  <si>
    <t>Kortfristet gæld minus indestående</t>
  </si>
  <si>
    <t>Kontant - ikke i brug</t>
  </si>
  <si>
    <t>Bakkens Bank</t>
  </si>
  <si>
    <t>Forsikringer - TopDK 9554 652 384</t>
  </si>
  <si>
    <t>Bakkens Bank i alt</t>
  </si>
  <si>
    <t>Gæld til kreditorer</t>
  </si>
  <si>
    <t>Jordvarme - kassekredit, 2018</t>
  </si>
  <si>
    <t>Restfinansiering af jordvarmeprojektet, 2018</t>
  </si>
  <si>
    <t>Afdrag til Bakkens Bank</t>
  </si>
  <si>
    <t>Opsparing til 5-årsplanen</t>
  </si>
  <si>
    <t>Afdrag til Bakkens Bank i alt</t>
  </si>
  <si>
    <t>Opsparing i Bakkens Bank</t>
  </si>
  <si>
    <t>Opsparing i øvrigt</t>
  </si>
  <si>
    <t>Opsparing i Bakkens Bank i alt</t>
  </si>
  <si>
    <t>5-årsplanen forbrugt</t>
  </si>
  <si>
    <t>5-årsplanen forbrugt i alt</t>
  </si>
  <si>
    <t>Ikke i brug - tidligere mellemregninger</t>
  </si>
  <si>
    <t>5-årsplanen opsparet</t>
  </si>
  <si>
    <t>5-årsplanen i alt</t>
  </si>
  <si>
    <t>Øvrig opsparing</t>
  </si>
  <si>
    <t>ikke i brug</t>
  </si>
  <si>
    <t>Ultimo</t>
  </si>
  <si>
    <t>Ny EL-tavle</t>
  </si>
  <si>
    <t>Tørretumbler - 2021</t>
  </si>
  <si>
    <t>EL/Varme</t>
  </si>
  <si>
    <t>Grøn EL Fælleshus, Østlænge, EL-biler</t>
  </si>
  <si>
    <t>Ørsted</t>
  </si>
  <si>
    <t>Vejvedligeholdelse - Dageløkke Ege</t>
  </si>
  <si>
    <t xml:space="preserve">Variable omkostninger </t>
  </si>
  <si>
    <t xml:space="preserve">Variable omkostninger i alt </t>
  </si>
  <si>
    <t>Variable omkostninger</t>
  </si>
  <si>
    <t>Vedl. fællesvej</t>
  </si>
  <si>
    <t>Løbende omkostninger/får</t>
  </si>
  <si>
    <t>Engangsomkostninger/får</t>
  </si>
  <si>
    <t>Diverse variable omkostninger</t>
  </si>
  <si>
    <t>Variable omostninger i alt</t>
  </si>
  <si>
    <t>Faste omkostninger</t>
  </si>
  <si>
    <t>Faste omkostninger i alt</t>
  </si>
  <si>
    <t>Fælles omkostninger i alt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</si>
  <si>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</si>
  <si>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</si>
  <si>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</si>
  <si>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</si>
  <si>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</si>
  <si>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</si>
  <si>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</si>
  <si>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</si>
  <si>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</si>
  <si>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</si>
  <si>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</si>
  <si>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</si>
  <si>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</si>
  <si>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 alt</t>
  </si>
  <si>
    <t>Cafemøder og fællesmøder</t>
  </si>
  <si>
    <t>EL-biler i alt</t>
  </si>
  <si>
    <t>Torvedag</t>
  </si>
  <si>
    <t>Nordea</t>
  </si>
  <si>
    <t>e-conomic</t>
  </si>
  <si>
    <t>Diff</t>
  </si>
  <si>
    <t>Jul</t>
  </si>
  <si>
    <t>aug</t>
  </si>
  <si>
    <t>sep</t>
  </si>
  <si>
    <t>okt</t>
  </si>
  <si>
    <t>nov</t>
  </si>
  <si>
    <t>dec</t>
  </si>
  <si>
    <t>Bilag 100299-301: Hus 16 dobbelt bogført pga indlæsningsfejl</t>
  </si>
  <si>
    <t>Jan</t>
  </si>
  <si>
    <t>Feb</t>
  </si>
  <si>
    <t>Mar</t>
  </si>
  <si>
    <t>Apr</t>
  </si>
  <si>
    <t>Maj</t>
  </si>
  <si>
    <t>Jun</t>
  </si>
  <si>
    <t>Aug</t>
  </si>
  <si>
    <t>Sep</t>
  </si>
  <si>
    <t>Okt</t>
  </si>
  <si>
    <t>Nov</t>
  </si>
  <si>
    <t>Dec</t>
  </si>
  <si>
    <t>Dublet opkrævning af indbetaling til Hus 10</t>
  </si>
  <si>
    <t>Tilbage</t>
  </si>
  <si>
    <t>Budget</t>
  </si>
  <si>
    <t>Realiseret</t>
  </si>
  <si>
    <t>Udgifter i alt</t>
  </si>
  <si>
    <t>Saldo ultimo</t>
  </si>
  <si>
    <t>Overskud fra strømforbrug</t>
  </si>
  <si>
    <t>Underskud fra strømforbrug</t>
  </si>
  <si>
    <t>Leje af ladere</t>
  </si>
  <si>
    <t>Bilag</t>
  </si>
  <si>
    <t>Dato</t>
  </si>
  <si>
    <t>Optalt</t>
  </si>
  <si>
    <t xml:space="preserve">Grøn Tub </t>
  </si>
  <si>
    <t>Classic</t>
  </si>
  <si>
    <t>Carlsberg Hof</t>
  </si>
  <si>
    <t>Andre</t>
  </si>
  <si>
    <t>Kulsyre , 6 kg</t>
  </si>
  <si>
    <t>Kulsyre 10 kg</t>
  </si>
  <si>
    <t>kul emb - 6 kg</t>
  </si>
  <si>
    <t>kul emb - 10 kg</t>
  </si>
  <si>
    <t>Øl emb. Tom</t>
  </si>
  <si>
    <t>Øl emb Fuld</t>
  </si>
  <si>
    <t>Euro palle</t>
  </si>
  <si>
    <t>Sum</t>
  </si>
  <si>
    <t>Beløb, inkl moms</t>
  </si>
  <si>
    <t>Eks. moms</t>
  </si>
  <si>
    <t>Optalt Primo</t>
  </si>
  <si>
    <t>Beregnet beholdning</t>
  </si>
  <si>
    <t>Optalt Ultimo</t>
  </si>
  <si>
    <t>Optalt udvikling</t>
  </si>
  <si>
    <t>Inkl moms</t>
  </si>
  <si>
    <t>Handlet udvikling</t>
  </si>
  <si>
    <t>Årets svind</t>
  </si>
  <si>
    <t>Kund127379</t>
  </si>
  <si>
    <t>Indkøb / fakturanr</t>
  </si>
  <si>
    <t>Eks. moms fra faktura</t>
  </si>
  <si>
    <t>Primo</t>
  </si>
  <si>
    <t>Sum indkøb</t>
  </si>
  <si>
    <t>Salg</t>
  </si>
  <si>
    <t>Salgspris</t>
  </si>
  <si>
    <t>Hus 18</t>
  </si>
  <si>
    <t>Arbejdsweekend</t>
  </si>
  <si>
    <t>Sangaften</t>
  </si>
  <si>
    <t>Dan - korafslutning</t>
  </si>
  <si>
    <t>Hus 14</t>
  </si>
  <si>
    <t>Jens</t>
  </si>
  <si>
    <t>Sankt Hans</t>
  </si>
  <si>
    <t>Hus 5</t>
  </si>
  <si>
    <t>Hus 21</t>
  </si>
  <si>
    <t>Hus 8</t>
  </si>
  <si>
    <t>Trivselsdag</t>
  </si>
  <si>
    <t>Hus 7</t>
  </si>
  <si>
    <t>Mortens Aften</t>
  </si>
  <si>
    <t>Hus 10</t>
  </si>
  <si>
    <t>Nytårsaften</t>
  </si>
  <si>
    <t>Sum salg</t>
  </si>
  <si>
    <t>Årets DB</t>
  </si>
  <si>
    <t>Fustage</t>
  </si>
  <si>
    <t>Kulsyre</t>
  </si>
  <si>
    <t>Fustager solgt</t>
  </si>
  <si>
    <t>Kostpris i alt</t>
  </si>
  <si>
    <t>Årets resultat</t>
  </si>
  <si>
    <t>Profit</t>
  </si>
  <si>
    <t>Kost per glas</t>
  </si>
  <si>
    <t>bakken27</t>
  </si>
  <si>
    <t>Pris per Glas</t>
  </si>
  <si>
    <t>304714 - Bofællesskabet Bakken I/S - CVR 33 40 31 51</t>
  </si>
  <si>
    <t>Saldobalance for perioden 01.01.23 - 31.12.23</t>
  </si>
  <si>
    <t>Elbilsforeningen mellemregninger</t>
  </si>
  <si>
    <t>Fælleshustag</t>
  </si>
  <si>
    <t>N</t>
  </si>
  <si>
    <t>Råderum</t>
  </si>
  <si>
    <t>- Årlig opsparring</t>
  </si>
  <si>
    <t>- Primo beholdning</t>
  </si>
  <si>
    <t>Nye projekter:</t>
  </si>
  <si>
    <t>Vedligeholdelse:</t>
  </si>
  <si>
    <t>Nyanskaffelser:</t>
  </si>
  <si>
    <t>Ændret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</si>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</sst>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_ ;[Red]\-#,##0\ "/>
    <numFmt numFmtId="165" formatCode="#,##0.0000"/>
    <numFmt numFmtId="166" formatCode="d\-mmm\-yy"/>
  </numFmts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Arial Unicode MS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B050"/>
      <name val="Arial"/>
      <family val="2"/>
    </font>
    <font>
      <b/>
      <sz val="6"/>
      <color rgb="FF44444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</font>
  </fonts>
  <fills count="13">
    <fill>
      <patternFill patternType="none"/>
    </fill>
    <fill>
      <patternFill patternType="gray125"/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gray0625">
        <bgColor rgb="FFFFFF00"/>
      </patternFill>
    </fill>
    <fill>
      <patternFill patternType="solid">
        <fgColor rgb="FFFFFF00"/>
        <bgColor indexed="64"/>
      </patternFill>
    </fill>
    <fill>
      <patternFill patternType="gray0625">
        <bgColor rgb="FF92D050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/>
      <bottom style="double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0C0C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2" fillId="0" borderId="0"/>
  </cellStyleXfs>
  <cellXfs count="285">
    <xf numFmtId="0" fontId="0" fillId="0" borderId="0" xfId="0"/>
    <xf numFmtId="3" fontId="2" fillId="0" borderId="0" xfId="0" applyNumberFormat="1" applyFont="1" applyBorder="1"/>
    <xf numFmtId="3" fontId="2" fillId="0" borderId="1" xfId="0" applyNumberFormat="1" applyFont="1" applyFill="1" applyBorder="1"/>
    <xf numFmtId="3" fontId="2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Fill="1" applyBorder="1"/>
    <xf numFmtId="3" fontId="2" fillId="0" borderId="1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4" fillId="2" borderId="3" xfId="0" applyNumberFormat="1" applyFont="1" applyFill="1" applyBorder="1"/>
    <xf numFmtId="3" fontId="2" fillId="2" borderId="1" xfId="0" applyNumberFormat="1" applyFont="1" applyFill="1" applyBorder="1"/>
    <xf numFmtId="3" fontId="1" fillId="0" borderId="0" xfId="0" applyNumberFormat="1" applyFont="1" applyFill="1" applyBorder="1"/>
    <xf numFmtId="3" fontId="2" fillId="0" borderId="3" xfId="0" applyNumberFormat="1" applyFont="1" applyBorder="1"/>
    <xf numFmtId="3" fontId="4" fillId="0" borderId="3" xfId="0" applyNumberFormat="1" applyFont="1" applyFill="1" applyBorder="1"/>
    <xf numFmtId="3" fontId="2" fillId="0" borderId="4" xfId="0" applyNumberFormat="1" applyFont="1" applyBorder="1"/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2" fillId="0" borderId="7" xfId="0" applyNumberFormat="1" applyFont="1" applyFill="1" applyBorder="1"/>
    <xf numFmtId="3" fontId="2" fillId="0" borderId="3" xfId="0" applyNumberFormat="1" applyFont="1" applyFill="1" applyBorder="1"/>
    <xf numFmtId="3" fontId="0" fillId="0" borderId="0" xfId="0" applyNumberFormat="1"/>
    <xf numFmtId="3" fontId="1" fillId="0" borderId="8" xfId="0" applyNumberFormat="1" applyFont="1" applyFill="1" applyBorder="1"/>
    <xf numFmtId="3" fontId="1" fillId="0" borderId="9" xfId="0" applyNumberFormat="1" applyFont="1" applyBorder="1"/>
    <xf numFmtId="3" fontId="1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3" fontId="2" fillId="0" borderId="3" xfId="0" applyNumberFormat="1" applyFont="1" applyBorder="1" applyAlignment="1">
      <alignment horizontal="center"/>
    </xf>
    <xf numFmtId="3" fontId="2" fillId="0" borderId="15" xfId="0" applyNumberFormat="1" applyFont="1" applyFill="1" applyBorder="1"/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0" fillId="0" borderId="3" xfId="0" applyNumberFormat="1" applyBorder="1"/>
    <xf numFmtId="3" fontId="1" fillId="0" borderId="3" xfId="0" applyNumberFormat="1" applyFont="1" applyFill="1" applyBorder="1"/>
    <xf numFmtId="3" fontId="0" fillId="0" borderId="1" xfId="0" applyNumberFormat="1" applyBorder="1"/>
    <xf numFmtId="3" fontId="2" fillId="0" borderId="8" xfId="0" applyNumberFormat="1" applyFont="1" applyBorder="1"/>
    <xf numFmtId="3" fontId="4" fillId="0" borderId="0" xfId="0" applyNumberFormat="1" applyFont="1"/>
    <xf numFmtId="3" fontId="2" fillId="2" borderId="1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3" fontId="1" fillId="0" borderId="19" xfId="0" applyNumberFormat="1" applyFont="1" applyBorder="1"/>
    <xf numFmtId="3" fontId="1" fillId="0" borderId="0" xfId="0" applyNumberFormat="1" applyFont="1" applyBorder="1"/>
    <xf numFmtId="1" fontId="2" fillId="0" borderId="20" xfId="0" applyNumberFormat="1" applyFont="1" applyFill="1" applyBorder="1"/>
    <xf numFmtId="1" fontId="2" fillId="0" borderId="21" xfId="0" applyNumberFormat="1" applyFont="1" applyFill="1" applyBorder="1" applyAlignment="1">
      <alignment horizontal="center"/>
    </xf>
    <xf numFmtId="1" fontId="2" fillId="0" borderId="7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18" xfId="0" applyNumberFormat="1" applyFont="1" applyFill="1" applyBorder="1"/>
    <xf numFmtId="3" fontId="2" fillId="0" borderId="18" xfId="0" applyNumberFormat="1" applyFont="1" applyBorder="1"/>
    <xf numFmtId="3" fontId="2" fillId="2" borderId="3" xfId="0" applyNumberFormat="1" applyFont="1" applyFill="1" applyBorder="1"/>
    <xf numFmtId="3" fontId="0" fillId="2" borderId="3" xfId="0" applyNumberFormat="1" applyFill="1" applyBorder="1"/>
    <xf numFmtId="3" fontId="4" fillId="0" borderId="0" xfId="0" applyNumberFormat="1" applyFont="1" applyAlignment="1" applyProtection="1">
      <alignment horizontal="right"/>
      <protection locked="0" hidden="1"/>
    </xf>
    <xf numFmtId="3" fontId="4" fillId="0" borderId="17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right"/>
    </xf>
    <xf numFmtId="0" fontId="7" fillId="0" borderId="0" xfId="0" applyFont="1"/>
    <xf numFmtId="14" fontId="7" fillId="0" borderId="0" xfId="0" applyNumberFormat="1" applyFont="1"/>
    <xf numFmtId="2" fontId="7" fillId="0" borderId="0" xfId="0" applyNumberFormat="1" applyFont="1"/>
    <xf numFmtId="14" fontId="0" fillId="0" borderId="0" xfId="0" applyNumberFormat="1"/>
    <xf numFmtId="2" fontId="0" fillId="0" borderId="0" xfId="0" applyNumberFormat="1"/>
    <xf numFmtId="0" fontId="6" fillId="0" borderId="0" xfId="0" applyFont="1"/>
    <xf numFmtId="3" fontId="10" fillId="0" borderId="0" xfId="0" applyNumberFormat="1" applyFont="1"/>
    <xf numFmtId="3" fontId="1" fillId="0" borderId="9" xfId="0" applyNumberFormat="1" applyFont="1" applyBorder="1" applyAlignment="1">
      <alignment horizontal="center"/>
    </xf>
    <xf numFmtId="1" fontId="4" fillId="0" borderId="0" xfId="0" quotePrefix="1" applyNumberFormat="1" applyFont="1" applyAlignment="1">
      <alignment horizontal="right"/>
    </xf>
    <xf numFmtId="2" fontId="8" fillId="0" borderId="0" xfId="0" applyNumberFormat="1" applyFont="1" applyAlignment="1">
      <alignment horizontal="right" wrapText="1"/>
    </xf>
    <xf numFmtId="1" fontId="1" fillId="0" borderId="0" xfId="0" applyNumberFormat="1" applyFont="1"/>
    <xf numFmtId="3" fontId="1" fillId="0" borderId="0" xfId="0" applyNumberFormat="1" applyFont="1" applyAlignment="1">
      <alignment horizontal="right"/>
    </xf>
    <xf numFmtId="14" fontId="1" fillId="0" borderId="0" xfId="0" applyNumberFormat="1" applyFont="1"/>
    <xf numFmtId="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8" fillId="3" borderId="0" xfId="0" applyNumberFormat="1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1" fontId="8" fillId="0" borderId="0" xfId="0" applyNumberFormat="1" applyFont="1" applyAlignment="1">
      <alignment wrapText="1"/>
    </xf>
    <xf numFmtId="1" fontId="8" fillId="4" borderId="0" xfId="0" applyNumberFormat="1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3" fontId="11" fillId="0" borderId="0" xfId="0" applyNumberFormat="1" applyFont="1"/>
    <xf numFmtId="3" fontId="11" fillId="0" borderId="0" xfId="0" quotePrefix="1" applyNumberFormat="1" applyFont="1"/>
    <xf numFmtId="3" fontId="3" fillId="0" borderId="19" xfId="0" applyNumberFormat="1" applyFont="1" applyBorder="1" applyAlignment="1">
      <alignment horizontal="center"/>
    </xf>
    <xf numFmtId="3" fontId="4" fillId="2" borderId="1" xfId="0" applyNumberFormat="1" applyFont="1" applyFill="1" applyBorder="1"/>
    <xf numFmtId="3" fontId="11" fillId="2" borderId="3" xfId="0" applyNumberFormat="1" applyFont="1" applyFill="1" applyBorder="1"/>
    <xf numFmtId="3" fontId="11" fillId="2" borderId="1" xfId="0" applyNumberFormat="1" applyFont="1" applyFill="1" applyBorder="1"/>
    <xf numFmtId="3" fontId="4" fillId="0" borderId="3" xfId="0" applyNumberFormat="1" applyFont="1" applyBorder="1"/>
    <xf numFmtId="3" fontId="4" fillId="0" borderId="1" xfId="0" applyNumberFormat="1" applyFont="1" applyBorder="1"/>
    <xf numFmtId="1" fontId="0" fillId="0" borderId="0" xfId="0" applyNumberFormat="1"/>
    <xf numFmtId="3" fontId="3" fillId="0" borderId="22" xfId="0" applyNumberFormat="1" applyFont="1" applyBorder="1" applyAlignment="1">
      <alignment horizontal="center"/>
    </xf>
    <xf numFmtId="1" fontId="5" fillId="0" borderId="0" xfId="0" quotePrefix="1" applyNumberFormat="1" applyFont="1" applyAlignment="1">
      <alignment horizontal="right"/>
    </xf>
    <xf numFmtId="4" fontId="0" fillId="0" borderId="0" xfId="0" applyNumberFormat="1"/>
    <xf numFmtId="164" fontId="1" fillId="0" borderId="9" xfId="0" applyNumberFormat="1" applyFont="1" applyBorder="1"/>
    <xf numFmtId="164" fontId="11" fillId="0" borderId="0" xfId="0" applyNumberFormat="1" applyFont="1"/>
    <xf numFmtId="3" fontId="12" fillId="0" borderId="0" xfId="0" applyNumberFormat="1" applyFont="1" applyAlignment="1">
      <alignment horizontal="center"/>
    </xf>
    <xf numFmtId="165" fontId="0" fillId="0" borderId="0" xfId="0" applyNumberFormat="1"/>
    <xf numFmtId="1" fontId="4" fillId="0" borderId="0" xfId="0" quotePrefix="1" applyNumberFormat="1" applyFont="1" applyAlignment="1">
      <alignment horizontal="left"/>
    </xf>
    <xf numFmtId="3" fontId="5" fillId="0" borderId="23" xfId="0" applyNumberFormat="1" applyFont="1" applyBorder="1" applyAlignment="1" applyProtection="1">
      <alignment horizontal="right"/>
    </xf>
    <xf numFmtId="3" fontId="2" fillId="0" borderId="1" xfId="0" applyNumberFormat="1" applyFont="1" applyFill="1" applyBorder="1" applyProtection="1"/>
    <xf numFmtId="3" fontId="4" fillId="2" borderId="3" xfId="0" applyNumberFormat="1" applyFont="1" applyFill="1" applyBorder="1" applyProtection="1">
      <protection locked="0"/>
    </xf>
    <xf numFmtId="3" fontId="2" fillId="0" borderId="1" xfId="0" applyNumberFormat="1" applyFont="1" applyFill="1" applyBorder="1" applyProtection="1">
      <protection locked="0"/>
    </xf>
    <xf numFmtId="3" fontId="1" fillId="0" borderId="2" xfId="0" applyNumberFormat="1" applyFont="1" applyFill="1" applyBorder="1" applyProtection="1"/>
    <xf numFmtId="3" fontId="3" fillId="0" borderId="9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0" fontId="2" fillId="0" borderId="0" xfId="0" applyFont="1"/>
    <xf numFmtId="3" fontId="1" fillId="0" borderId="26" xfId="0" applyNumberFormat="1" applyFont="1" applyBorder="1"/>
    <xf numFmtId="0" fontId="1" fillId="0" borderId="0" xfId="0" applyFont="1"/>
    <xf numFmtId="3" fontId="9" fillId="0" borderId="0" xfId="0" applyNumberFormat="1" applyFont="1"/>
    <xf numFmtId="3" fontId="5" fillId="0" borderId="0" xfId="0" applyNumberFormat="1" applyFont="1" applyAlignment="1">
      <alignment horizontal="center"/>
    </xf>
    <xf numFmtId="164" fontId="1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/>
    <xf numFmtId="164" fontId="11" fillId="0" borderId="0" xfId="0" applyNumberFormat="1" applyFont="1" applyProtection="1">
      <protection locked="0"/>
    </xf>
    <xf numFmtId="0" fontId="0" fillId="0" borderId="0" xfId="0"/>
    <xf numFmtId="3" fontId="4" fillId="5" borderId="3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3" fontId="4" fillId="0" borderId="27" xfId="0" applyNumberFormat="1" applyFont="1" applyBorder="1" applyAlignment="1" applyProtection="1">
      <alignment horizontal="right"/>
      <protection locked="0" hidden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/>
    <xf numFmtId="0" fontId="0" fillId="0" borderId="17" xfId="0" applyBorder="1"/>
    <xf numFmtId="3" fontId="0" fillId="0" borderId="17" xfId="0" applyNumberFormat="1" applyBorder="1"/>
    <xf numFmtId="3" fontId="1" fillId="0" borderId="23" xfId="0" applyNumberFormat="1" applyFont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/>
    <xf numFmtId="3" fontId="13" fillId="0" borderId="0" xfId="0" applyNumberFormat="1" applyFont="1"/>
    <xf numFmtId="3" fontId="14" fillId="0" borderId="0" xfId="0" applyNumberFormat="1" applyFont="1"/>
    <xf numFmtId="0" fontId="0" fillId="0" borderId="0" xfId="0"/>
    <xf numFmtId="1" fontId="1" fillId="2" borderId="10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" fontId="4" fillId="0" borderId="0" xfId="0" applyNumberFormat="1" applyFont="1" applyAlignment="1">
      <alignment horizontal="center"/>
    </xf>
    <xf numFmtId="3" fontId="16" fillId="0" borderId="0" xfId="0" applyNumberFormat="1" applyFont="1"/>
    <xf numFmtId="4" fontId="0" fillId="0" borderId="17" xfId="0" applyNumberFormat="1" applyBorder="1"/>
    <xf numFmtId="3" fontId="4" fillId="0" borderId="0" xfId="0" applyNumberFormat="1" applyFont="1" applyFill="1" applyAlignment="1" applyProtection="1">
      <alignment horizontal="right"/>
      <protection locked="0" hidden="1"/>
    </xf>
    <xf numFmtId="3" fontId="2" fillId="0" borderId="0" xfId="0" applyNumberFormat="1" applyFont="1" applyFill="1"/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4" fontId="17" fillId="0" borderId="0" xfId="0" applyNumberFormat="1" applyFont="1"/>
    <xf numFmtId="3" fontId="18" fillId="0" borderId="0" xfId="0" applyNumberFormat="1" applyFont="1"/>
    <xf numFmtId="0" fontId="0" fillId="0" borderId="0" xfId="0"/>
    <xf numFmtId="1" fontId="8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3" fontId="18" fillId="0" borderId="23" xfId="0" applyNumberFormat="1" applyFont="1" applyBorder="1"/>
    <xf numFmtId="0" fontId="0" fillId="0" borderId="0" xfId="0"/>
    <xf numFmtId="3" fontId="4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0" fontId="18" fillId="0" borderId="0" xfId="0" applyFont="1"/>
    <xf numFmtId="0" fontId="0" fillId="0" borderId="0" xfId="0" quotePrefix="1"/>
    <xf numFmtId="0" fontId="0" fillId="0" borderId="17" xfId="0" quotePrefix="1" applyBorder="1"/>
    <xf numFmtId="3" fontId="18" fillId="0" borderId="17" xfId="0" applyNumberFormat="1" applyFont="1" applyBorder="1"/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3" fontId="20" fillId="0" borderId="0" xfId="0" applyNumberFormat="1" applyFont="1"/>
    <xf numFmtId="0" fontId="21" fillId="0" borderId="0" xfId="0" applyFont="1"/>
    <xf numFmtId="3" fontId="22" fillId="0" borderId="0" xfId="0" applyNumberFormat="1" applyFont="1"/>
    <xf numFmtId="3" fontId="23" fillId="0" borderId="0" xfId="0" applyNumberFormat="1" applyFont="1"/>
    <xf numFmtId="3" fontId="24" fillId="0" borderId="0" xfId="0" applyNumberFormat="1" applyFont="1"/>
    <xf numFmtId="3" fontId="20" fillId="0" borderId="17" xfId="0" applyNumberFormat="1" applyFont="1" applyBorder="1"/>
    <xf numFmtId="0" fontId="21" fillId="0" borderId="17" xfId="0" applyFont="1" applyBorder="1"/>
    <xf numFmtId="0" fontId="25" fillId="0" borderId="0" xfId="0" applyFont="1"/>
    <xf numFmtId="3" fontId="25" fillId="0" borderId="0" xfId="0" applyNumberFormat="1" applyFont="1"/>
    <xf numFmtId="0" fontId="0" fillId="0" borderId="0" xfId="0"/>
    <xf numFmtId="0" fontId="0" fillId="0" borderId="0" xfId="0"/>
    <xf numFmtId="0" fontId="26" fillId="0" borderId="0" xfId="0" applyFont="1"/>
    <xf numFmtId="0" fontId="27" fillId="0" borderId="0" xfId="0" applyFont="1"/>
    <xf numFmtId="3" fontId="27" fillId="0" borderId="28" xfId="0" applyNumberFormat="1" applyFont="1" applyBorder="1"/>
    <xf numFmtId="0" fontId="28" fillId="6" borderId="29" xfId="0" applyFont="1" applyFill="1" applyBorder="1" applyAlignment="1">
      <alignment horizontal="center"/>
    </xf>
    <xf numFmtId="0" fontId="28" fillId="7" borderId="29" xfId="0" applyFont="1" applyFill="1" applyBorder="1" applyAlignment="1">
      <alignment horizontal="center" wrapText="1"/>
    </xf>
    <xf numFmtId="0" fontId="29" fillId="0" borderId="0" xfId="0" applyFont="1"/>
    <xf numFmtId="0" fontId="28" fillId="7" borderId="0" xfId="0" applyFont="1" applyFill="1"/>
    <xf numFmtId="166" fontId="27" fillId="0" borderId="29" xfId="0" applyNumberFormat="1" applyFont="1" applyBorder="1" applyProtection="1">
      <protection locked="0"/>
    </xf>
    <xf numFmtId="0" fontId="27" fillId="0" borderId="30" xfId="0" applyFont="1" applyBorder="1" applyProtection="1">
      <protection locked="0"/>
    </xf>
    <xf numFmtId="0" fontId="27" fillId="0" borderId="31" xfId="0" applyFont="1" applyBorder="1" applyAlignment="1" applyProtection="1">
      <alignment horizontal="right"/>
      <protection locked="0"/>
    </xf>
    <xf numFmtId="0" fontId="29" fillId="0" borderId="17" xfId="0" applyFont="1" applyBorder="1" applyAlignment="1" applyProtection="1">
      <alignment horizontal="right"/>
      <protection locked="0"/>
    </xf>
    <xf numFmtId="0" fontId="29" fillId="0" borderId="29" xfId="0" applyFont="1" applyBorder="1" applyAlignment="1" applyProtection="1">
      <alignment horizontal="right"/>
      <protection locked="0"/>
    </xf>
    <xf numFmtId="0" fontId="27" fillId="0" borderId="29" xfId="0" applyFont="1" applyBorder="1" applyProtection="1">
      <protection locked="0"/>
    </xf>
    <xf numFmtId="4" fontId="27" fillId="0" borderId="29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0" fontId="27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29" fillId="0" borderId="29" xfId="0" applyNumberFormat="1" applyFont="1" applyBorder="1"/>
    <xf numFmtId="0" fontId="29" fillId="0" borderId="30" xfId="0" applyFont="1" applyBorder="1"/>
    <xf numFmtId="0" fontId="29" fillId="0" borderId="32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29" fillId="0" borderId="29" xfId="0" applyFont="1" applyBorder="1"/>
    <xf numFmtId="4" fontId="27" fillId="0" borderId="29" xfId="0" applyNumberFormat="1" applyFont="1" applyBorder="1"/>
    <xf numFmtId="0" fontId="27" fillId="0" borderId="33" xfId="0" applyFont="1" applyBorder="1" applyProtection="1">
      <protection locked="0"/>
    </xf>
    <xf numFmtId="0" fontId="27" fillId="0" borderId="34" xfId="0" applyFont="1" applyBorder="1"/>
    <xf numFmtId="4" fontId="27" fillId="0" borderId="34" xfId="0" applyNumberFormat="1" applyFont="1" applyBorder="1"/>
    <xf numFmtId="0" fontId="28" fillId="0" borderId="0" xfId="0" applyFont="1"/>
    <xf numFmtId="4" fontId="28" fillId="0" borderId="35" xfId="0" applyNumberFormat="1" applyFont="1" applyBorder="1"/>
    <xf numFmtId="3" fontId="28" fillId="0" borderId="0" xfId="0" applyNumberFormat="1" applyFont="1"/>
    <xf numFmtId="43" fontId="28" fillId="0" borderId="0" xfId="0" applyNumberFormat="1" applyFont="1"/>
    <xf numFmtId="3" fontId="27" fillId="0" borderId="29" xfId="0" applyNumberFormat="1" applyFont="1" applyBorder="1"/>
    <xf numFmtId="0" fontId="27" fillId="8" borderId="29" xfId="0" applyFont="1" applyFill="1" applyBorder="1"/>
    <xf numFmtId="0" fontId="27" fillId="0" borderId="29" xfId="0" applyFont="1" applyBorder="1"/>
    <xf numFmtId="0" fontId="27" fillId="0" borderId="29" xfId="0" applyFont="1" applyBorder="1" applyAlignment="1">
      <alignment horizontal="right"/>
    </xf>
    <xf numFmtId="3" fontId="27" fillId="0" borderId="30" xfId="0" applyNumberFormat="1" applyFont="1" applyBorder="1"/>
    <xf numFmtId="4" fontId="27" fillId="0" borderId="0" xfId="0" applyNumberFormat="1" applyFont="1"/>
    <xf numFmtId="0" fontId="28" fillId="6" borderId="29" xfId="0" applyFont="1" applyFill="1" applyBorder="1" applyAlignment="1">
      <alignment horizontal="center" wrapText="1"/>
    </xf>
    <xf numFmtId="0" fontId="28" fillId="6" borderId="29" xfId="0" applyFont="1" applyFill="1" applyBorder="1" applyAlignment="1">
      <alignment wrapText="1"/>
    </xf>
    <xf numFmtId="0" fontId="27" fillId="0" borderId="29" xfId="0" applyFont="1" applyBorder="1" applyAlignment="1">
      <alignment horizontal="right" wrapText="1"/>
    </xf>
    <xf numFmtId="0" fontId="27" fillId="0" borderId="29" xfId="0" applyFont="1" applyBorder="1" applyAlignment="1">
      <alignment wrapText="1"/>
    </xf>
    <xf numFmtId="3" fontId="27" fillId="0" borderId="30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0" fontId="28" fillId="7" borderId="0" xfId="0" applyFont="1" applyFill="1" applyAlignment="1">
      <alignment wrapText="1"/>
    </xf>
    <xf numFmtId="166" fontId="27" fillId="0" borderId="29" xfId="0" applyNumberFormat="1" applyFont="1" applyBorder="1"/>
    <xf numFmtId="49" fontId="27" fillId="0" borderId="29" xfId="0" applyNumberFormat="1" applyFont="1" applyBorder="1" applyAlignment="1">
      <alignment horizontal="center"/>
    </xf>
    <xf numFmtId="49" fontId="0" fillId="0" borderId="29" xfId="0" applyNumberFormat="1" applyBorder="1" applyAlignment="1" applyProtection="1">
      <alignment horizontal="center"/>
      <protection locked="0"/>
    </xf>
    <xf numFmtId="0" fontId="27" fillId="0" borderId="29" xfId="0" applyFont="1" applyBorder="1" applyAlignment="1" applyProtection="1">
      <alignment horizontal="right"/>
      <protection locked="0"/>
    </xf>
    <xf numFmtId="3" fontId="27" fillId="0" borderId="29" xfId="0" applyNumberFormat="1" applyFont="1" applyBorder="1" applyProtection="1">
      <protection locked="0"/>
    </xf>
    <xf numFmtId="0" fontId="30" fillId="0" borderId="0" xfId="0" applyFont="1" applyAlignment="1">
      <alignment horizontal="center"/>
    </xf>
    <xf numFmtId="43" fontId="28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0" fontId="27" fillId="0" borderId="36" xfId="0" applyFont="1" applyBorder="1" applyAlignment="1" applyProtection="1">
      <alignment horizontal="right"/>
      <protection locked="0"/>
    </xf>
    <xf numFmtId="0" fontId="27" fillId="0" borderId="36" xfId="0" applyFont="1" applyBorder="1" applyProtection="1">
      <protection locked="0"/>
    </xf>
    <xf numFmtId="3" fontId="27" fillId="0" borderId="36" xfId="0" applyNumberFormat="1" applyFont="1" applyBorder="1" applyProtection="1">
      <protection locked="0"/>
    </xf>
    <xf numFmtId="4" fontId="28" fillId="0" borderId="0" xfId="0" applyNumberFormat="1" applyFont="1" applyProtection="1">
      <protection locked="0"/>
    </xf>
    <xf numFmtId="0" fontId="27" fillId="0" borderId="0" xfId="0" applyFont="1" applyAlignment="1">
      <alignment horizontal="right"/>
    </xf>
    <xf numFmtId="3" fontId="27" fillId="0" borderId="0" xfId="0" applyNumberFormat="1" applyFont="1"/>
    <xf numFmtId="0" fontId="27" fillId="0" borderId="0" xfId="0" applyFont="1" applyAlignment="1">
      <alignment horizontal="left"/>
    </xf>
    <xf numFmtId="0" fontId="27" fillId="6" borderId="29" xfId="0" applyFont="1" applyFill="1" applyBorder="1"/>
    <xf numFmtId="0" fontId="28" fillId="6" borderId="29" xfId="0" applyFont="1" applyFill="1" applyBorder="1"/>
    <xf numFmtId="0" fontId="28" fillId="0" borderId="17" xfId="0" applyFont="1" applyBorder="1"/>
    <xf numFmtId="4" fontId="28" fillId="0" borderId="17" xfId="0" applyNumberFormat="1" applyFont="1" applyBorder="1" applyProtection="1">
      <protection locked="0"/>
    </xf>
    <xf numFmtId="16" fontId="27" fillId="0" borderId="30" xfId="0" applyNumberFormat="1" applyFont="1" applyBorder="1" applyProtection="1">
      <protection locked="0"/>
    </xf>
    <xf numFmtId="4" fontId="27" fillId="0" borderId="0" xfId="0" applyNumberFormat="1" applyFont="1" applyProtection="1">
      <protection locked="0"/>
    </xf>
    <xf numFmtId="0" fontId="27" fillId="0" borderId="32" xfId="0" applyFont="1" applyBorder="1" applyAlignment="1" applyProtection="1">
      <alignment horizontal="right"/>
      <protection locked="0"/>
    </xf>
    <xf numFmtId="0" fontId="27" fillId="0" borderId="32" xfId="0" applyFont="1" applyBorder="1" applyProtection="1">
      <protection locked="0"/>
    </xf>
    <xf numFmtId="14" fontId="27" fillId="0" borderId="29" xfId="0" applyNumberFormat="1" applyFont="1" applyBorder="1" applyAlignment="1" applyProtection="1">
      <alignment horizontal="right"/>
      <protection locked="0"/>
    </xf>
    <xf numFmtId="0" fontId="27" fillId="0" borderId="32" xfId="0" applyFont="1" applyBorder="1"/>
    <xf numFmtId="0" fontId="27" fillId="0" borderId="37" xfId="0" applyFont="1" applyBorder="1"/>
    <xf numFmtId="0" fontId="27" fillId="0" borderId="31" xfId="0" applyFont="1" applyBorder="1" applyAlignment="1">
      <alignment horizontal="right"/>
    </xf>
    <xf numFmtId="0" fontId="27" fillId="0" borderId="31" xfId="0" applyFont="1" applyBorder="1"/>
    <xf numFmtId="3" fontId="27" fillId="0" borderId="31" xfId="0" applyNumberFormat="1" applyFont="1" applyBorder="1"/>
    <xf numFmtId="4" fontId="28" fillId="0" borderId="0" xfId="0" applyNumberFormat="1" applyFont="1"/>
    <xf numFmtId="0" fontId="28" fillId="0" borderId="32" xfId="0" applyFont="1" applyBorder="1"/>
    <xf numFmtId="0" fontId="28" fillId="0" borderId="32" xfId="0" applyFont="1" applyBorder="1" applyAlignment="1">
      <alignment horizontal="right"/>
    </xf>
    <xf numFmtId="3" fontId="28" fillId="0" borderId="38" xfId="0" applyNumberFormat="1" applyFont="1" applyBorder="1"/>
    <xf numFmtId="0" fontId="31" fillId="0" borderId="0" xfId="0" applyFont="1"/>
    <xf numFmtId="4" fontId="30" fillId="0" borderId="0" xfId="0" applyNumberFormat="1" applyFont="1"/>
    <xf numFmtId="0" fontId="27" fillId="0" borderId="32" xfId="0" applyFont="1" applyBorder="1" applyAlignment="1">
      <alignment horizontal="right"/>
    </xf>
    <xf numFmtId="0" fontId="31" fillId="0" borderId="17" xfId="0" applyFont="1" applyBorder="1"/>
    <xf numFmtId="4" fontId="30" fillId="0" borderId="17" xfId="0" applyNumberFormat="1" applyFont="1" applyBorder="1"/>
    <xf numFmtId="3" fontId="27" fillId="0" borderId="32" xfId="0" applyNumberFormat="1" applyFont="1" applyBorder="1"/>
    <xf numFmtId="4" fontId="27" fillId="0" borderId="17" xfId="0" applyNumberFormat="1" applyFont="1" applyBorder="1" applyProtection="1">
      <protection locked="0"/>
    </xf>
    <xf numFmtId="0" fontId="28" fillId="0" borderId="0" xfId="0" applyFont="1" applyAlignment="1">
      <alignment horizontal="right"/>
    </xf>
    <xf numFmtId="3" fontId="28" fillId="0" borderId="39" xfId="0" applyNumberFormat="1" applyFont="1" applyBorder="1"/>
    <xf numFmtId="0" fontId="0" fillId="0" borderId="0" xfId="0" applyAlignment="1">
      <alignment horizontal="left" vertical="top"/>
    </xf>
    <xf numFmtId="0" fontId="0" fillId="0" borderId="0" xfId="0"/>
    <xf numFmtId="4" fontId="0" fillId="0" borderId="0" xfId="0" applyNumberFormat="1" applyAlignment="1">
      <alignment horizontal="center"/>
    </xf>
    <xf numFmtId="3" fontId="15" fillId="5" borderId="3" xfId="0" applyNumberFormat="1" applyFont="1" applyFill="1" applyBorder="1"/>
    <xf numFmtId="0" fontId="0" fillId="0" borderId="0" xfId="0"/>
    <xf numFmtId="0" fontId="0" fillId="0" borderId="0" xfId="0"/>
    <xf numFmtId="0" fontId="32" fillId="0" borderId="0" xfId="0" applyFont="1"/>
    <xf numFmtId="0" fontId="32" fillId="0" borderId="0" xfId="0" applyFont="1" applyAlignment="1">
      <alignment horizontal="right"/>
    </xf>
    <xf numFmtId="4" fontId="32" fillId="0" borderId="0" xfId="0" applyNumberFormat="1" applyFont="1"/>
    <xf numFmtId="3" fontId="2" fillId="9" borderId="1" xfId="0" applyNumberFormat="1" applyFont="1" applyFill="1" applyBorder="1"/>
    <xf numFmtId="3" fontId="4" fillId="10" borderId="0" xfId="0" applyNumberFormat="1" applyFont="1" applyFill="1" applyAlignment="1">
      <alignment horizontal="center"/>
    </xf>
    <xf numFmtId="3" fontId="15" fillId="9" borderId="3" xfId="0" applyNumberFormat="1" applyFont="1" applyFill="1" applyBorder="1" applyProtection="1">
      <protection locked="0"/>
    </xf>
    <xf numFmtId="3" fontId="4" fillId="11" borderId="3" xfId="0" applyNumberFormat="1" applyFont="1" applyFill="1" applyBorder="1"/>
    <xf numFmtId="3" fontId="2" fillId="11" borderId="1" xfId="0" applyNumberFormat="1" applyFont="1" applyFill="1" applyBorder="1"/>
    <xf numFmtId="3" fontId="4" fillId="12" borderId="0" xfId="0" applyNumberFormat="1" applyFont="1" applyFill="1" applyAlignment="1">
      <alignment horizontal="center"/>
    </xf>
    <xf numFmtId="3" fontId="1" fillId="12" borderId="19" xfId="0" applyNumberFormat="1" applyFont="1" applyFill="1" applyBorder="1"/>
    <xf numFmtId="164" fontId="1" fillId="12" borderId="9" xfId="0" applyNumberFormat="1" applyFont="1" applyFill="1" applyBorder="1"/>
    <xf numFmtId="3" fontId="3" fillId="12" borderId="9" xfId="0" applyNumberFormat="1" applyFont="1" applyFill="1" applyBorder="1" applyAlignment="1">
      <alignment horizontal="center"/>
    </xf>
    <xf numFmtId="3" fontId="1" fillId="12" borderId="9" xfId="0" applyNumberFormat="1" applyFont="1" applyFill="1" applyBorder="1"/>
    <xf numFmtId="3" fontId="0" fillId="12" borderId="0" xfId="0" applyNumberFormat="1" applyFill="1"/>
    <xf numFmtId="3" fontId="2" fillId="12" borderId="8" xfId="0" applyNumberFormat="1" applyFont="1" applyFill="1" applyBorder="1"/>
    <xf numFmtId="3" fontId="1" fillId="12" borderId="2" xfId="0" applyNumberFormat="1" applyFont="1" applyFill="1" applyBorder="1"/>
    <xf numFmtId="0" fontId="32" fillId="0" borderId="0" xfId="0" applyFont="1"/>
    <xf numFmtId="0" fontId="0" fillId="0" borderId="0" xfId="0"/>
    <xf numFmtId="3" fontId="1" fillId="0" borderId="0" xfId="0" applyNumberFormat="1" applyFont="1" applyAlignment="1"/>
    <xf numFmtId="0" fontId="1" fillId="0" borderId="0" xfId="0" applyNumberFormat="1" applyFont="1" applyAlignment="1"/>
  </cellXfs>
  <cellStyles count="2">
    <cellStyle name="Normal" xfId="0" builtinId="0"/>
    <cellStyle name="Normal 2" xfId="1" xr:uid="{4DCCFDE8-FD71-4194-BC94-170742C24F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Indestående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E-40EE-A1B7-85A3ED38A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Banken!$A$4</c:f>
              <c:strCache>
                <c:ptCount val="1"/>
                <c:pt idx="0">
                  <c:v>Bakkens kontanter </c:v>
                </c:pt>
              </c:strCache>
            </c:strRef>
          </c:cat>
          <c:val>
            <c:numRef>
              <c:f>Banken!$B$4</c:f>
              <c:numCache>
                <c:formatCode>#,##0</c:formatCode>
                <c:ptCount val="1"/>
                <c:pt idx="0">
                  <c:v>687958.6399999999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E-40EE-A1B7-85A3ED38A8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Kortfristet gæld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3-4C1C-90A0-679992268E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83-4C1C-90A0-679992268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83-4C1C-90A0-679992268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83-4C1C-90A0-679992268E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Banken!$A$7:$A$10</c:f>
              <c:strCache>
                <c:ptCount val="4"/>
                <c:pt idx="0">
                  <c:v>Skyldige omkostninger</c:v>
                </c:pt>
                <c:pt idx="1">
                  <c:v>5-årsplanen</c:v>
                </c:pt>
                <c:pt idx="2">
                  <c:v>Øvrige hensættelser</c:v>
                </c:pt>
                <c:pt idx="3">
                  <c:v>Arbejdskapital</c:v>
                </c:pt>
              </c:strCache>
            </c:strRef>
          </c:cat>
          <c:val>
            <c:numRef>
              <c:f>Banken!$B$7:$B$10</c:f>
              <c:numCache>
                <c:formatCode>#,##0</c:formatCode>
                <c:ptCount val="4"/>
                <c:pt idx="0">
                  <c:v>17182.2</c:v>
                </c:pt>
                <c:pt idx="1">
                  <c:v>206615.91</c:v>
                </c:pt>
                <c:pt idx="2">
                  <c:v>26125</c:v>
                </c:pt>
                <c:pt idx="3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83-4C1C-90A0-679992268E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Langfristet gæld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6-44C2-BA4D-432429A32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6-44C2-BA4D-432429A32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6-44C2-BA4D-432429A32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6-44C2-BA4D-432429A32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FB-400E-AFE6-59781D631E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Banken!$A$21:$A$25</c:f>
              <c:strCache>
                <c:ptCount val="5"/>
                <c:pt idx="0">
                  <c:v>Tørretumbler - 2021</c:v>
                </c:pt>
                <c:pt idx="1">
                  <c:v>Vaskemaskiner, 2011</c:v>
                </c:pt>
                <c:pt idx="2">
                  <c:v>Jordvarme - kompressorerne, 2018</c:v>
                </c:pt>
                <c:pt idx="3">
                  <c:v>Ovn, 2020</c:v>
                </c:pt>
                <c:pt idx="4">
                  <c:v>Restfinansiering af jordvarmeprojektet, 2018</c:v>
                </c:pt>
              </c:strCache>
            </c:strRef>
          </c:cat>
          <c:val>
            <c:numRef>
              <c:f>Banken!$B$21:$B$25</c:f>
              <c:numCache>
                <c:formatCode>#,##0</c:formatCode>
                <c:ptCount val="5"/>
                <c:pt idx="0">
                  <c:v>14570.86</c:v>
                </c:pt>
                <c:pt idx="1">
                  <c:v>98073.13</c:v>
                </c:pt>
                <c:pt idx="2">
                  <c:v>400000.13</c:v>
                </c:pt>
                <c:pt idx="3">
                  <c:v>39898.58</c:v>
                </c:pt>
                <c:pt idx="4">
                  <c:v>385263.11999999976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96-44C2-BA4D-432429A322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Kassekredit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4-4424-AB34-005AEEABB9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24-4424-AB34-005AEEABB9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24-4424-AB34-005AEEABB9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4-4424-AB34-005AEEABB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Banken!$A$14:$A$17</c:f>
              <c:strCache>
                <c:ptCount val="4"/>
                <c:pt idx="0">
                  <c:v>Træk</c:v>
                </c:pt>
                <c:pt idx="1">
                  <c:v>Kortfristet gæld minus indestående</c:v>
                </c:pt>
                <c:pt idx="2">
                  <c:v>Langfristet gæld</c:v>
                </c:pt>
                <c:pt idx="3">
                  <c:v>Disponibelt</c:v>
                </c:pt>
              </c:strCache>
            </c:strRef>
          </c:cat>
          <c:val>
            <c:numRef>
              <c:f>Banken!$B$14:$B$17</c:f>
              <c:numCache>
                <c:formatCode>#,##0</c:formatCode>
                <c:ptCount val="4"/>
                <c:pt idx="0">
                  <c:v>0</c:v>
                </c:pt>
                <c:pt idx="1">
                  <c:v>-338035.52999999991</c:v>
                </c:pt>
                <c:pt idx="2">
                  <c:v>937805.81999999972</c:v>
                </c:pt>
                <c:pt idx="3">
                  <c:v>400229.7100000002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4-4424-AB34-005AEEABB9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152400</xdr:rowOff>
    </xdr:from>
    <xdr:to>
      <xdr:col>13</xdr:col>
      <xdr:colOff>47625</xdr:colOff>
      <xdr:row>17</xdr:row>
      <xdr:rowOff>142875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BBEE3B89-EA70-4EE2-9E2C-33529D9F7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21</xdr:col>
      <xdr:colOff>438150</xdr:colOff>
      <xdr:row>18</xdr:row>
      <xdr:rowOff>0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6EED4F60-FBFD-40E0-90FA-280E35236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20</xdr:row>
      <xdr:rowOff>0</xdr:rowOff>
    </xdr:from>
    <xdr:to>
      <xdr:col>13</xdr:col>
      <xdr:colOff>57150</xdr:colOff>
      <xdr:row>36</xdr:row>
      <xdr:rowOff>152400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561DB82B-BEC7-4F55-AF9B-676A92C46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21</xdr:col>
      <xdr:colOff>438150</xdr:colOff>
      <xdr:row>36</xdr:row>
      <xdr:rowOff>152400</xdr:rowOff>
    </xdr:to>
    <xdr:graphicFrame macro="">
      <xdr:nvGraphicFramePr>
        <xdr:cNvPr id="5" name="Diagram 8">
          <a:extLst>
            <a:ext uri="{FF2B5EF4-FFF2-40B4-BE49-F238E27FC236}">
              <a16:creationId xmlns:a16="http://schemas.microsoft.com/office/drawing/2014/main" id="{E1130AA8-C7CD-4ED9-8C8C-BB8C573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5"/>
  <sheetViews>
    <sheetView tabSelected="1" zoomScale="180" zoomScaleNormal="18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P5" sqref="P5"/>
    </sheetView>
  </sheetViews>
  <sheetFormatPr defaultColWidth="9.140625" defaultRowHeight="12.75" x14ac:dyDescent="0.2"/>
  <cols>
    <col min="1" max="1" width="33.28515625" style="20" customWidth="1"/>
    <col min="2" max="2" width="10.42578125" style="20" customWidth="1"/>
    <col min="3" max="3" width="10.7109375" style="20" bestFit="1" customWidth="1"/>
    <col min="4" max="5" width="10.42578125" style="20" customWidth="1"/>
    <col min="6" max="6" width="12.140625" style="20" bestFit="1" customWidth="1"/>
    <col min="7" max="7" width="11" style="20" bestFit="1" customWidth="1"/>
    <col min="8" max="8" width="13.42578125" style="20" bestFit="1" customWidth="1"/>
    <col min="9" max="9" width="5.28515625" style="20" customWidth="1"/>
    <col min="10" max="10" width="8" style="20" customWidth="1"/>
    <col min="11" max="11" width="9.85546875" style="20" bestFit="1" customWidth="1"/>
    <col min="12" max="12" width="10.42578125" style="20" customWidth="1"/>
    <col min="13" max="14" width="5.28515625" style="20" customWidth="1"/>
    <col min="15" max="15" width="11.42578125" style="20" customWidth="1"/>
    <col min="16" max="16" width="11.7109375" style="20" customWidth="1"/>
    <col min="17" max="16384" width="9.140625" style="20"/>
  </cols>
  <sheetData>
    <row r="1" spans="1:18" s="8" customFormat="1" x14ac:dyDescent="0.2">
      <c r="F1" s="283"/>
      <c r="G1" s="284"/>
      <c r="H1" s="284"/>
      <c r="I1" s="284"/>
      <c r="J1" s="284"/>
      <c r="L1" s="284"/>
      <c r="N1" s="8" t="s">
        <v>421</v>
      </c>
    </row>
    <row r="2" spans="1:18" s="8" customFormat="1" x14ac:dyDescent="0.2">
      <c r="A2" s="66" t="s">
        <v>158</v>
      </c>
      <c r="B2" s="65">
        <v>2023</v>
      </c>
      <c r="C2" s="68" t="s">
        <v>159</v>
      </c>
      <c r="D2" s="65">
        <v>2024</v>
      </c>
      <c r="E2" s="68" t="s">
        <v>160</v>
      </c>
      <c r="F2" s="67">
        <v>45292</v>
      </c>
      <c r="G2" s="69" t="s">
        <v>161</v>
      </c>
      <c r="H2" s="67">
        <v>45657</v>
      </c>
      <c r="K2" s="5"/>
      <c r="L2" s="67"/>
    </row>
    <row r="3" spans="1:18" ht="13.5" thickBot="1" x14ac:dyDescent="0.25">
      <c r="O3" s="53" t="s">
        <v>15</v>
      </c>
      <c r="P3" s="54" t="s">
        <v>12</v>
      </c>
      <c r="Q3" s="54" t="s">
        <v>218</v>
      </c>
    </row>
    <row r="4" spans="1:18" x14ac:dyDescent="0.2">
      <c r="A4" s="23" t="s">
        <v>142</v>
      </c>
      <c r="B4" s="24"/>
      <c r="C4" s="24"/>
      <c r="D4" s="24"/>
      <c r="E4" s="24"/>
      <c r="F4" s="24"/>
      <c r="G4" s="24"/>
      <c r="H4" s="25"/>
      <c r="I4" s="26"/>
      <c r="J4" s="37"/>
      <c r="K4" s="24"/>
      <c r="L4" s="25"/>
      <c r="M4" s="36"/>
      <c r="N4" s="36"/>
      <c r="O4" s="63">
        <f>B2</f>
        <v>2023</v>
      </c>
      <c r="P4" s="52">
        <v>2306</v>
      </c>
      <c r="Q4" s="52"/>
    </row>
    <row r="5" spans="1:18" x14ac:dyDescent="0.2">
      <c r="A5" s="18"/>
      <c r="B5" s="41" t="s">
        <v>1</v>
      </c>
      <c r="C5" s="42">
        <f>B2-1</f>
        <v>2022</v>
      </c>
      <c r="D5" s="45" t="s">
        <v>0</v>
      </c>
      <c r="E5" s="46">
        <f>B2</f>
        <v>2023</v>
      </c>
      <c r="F5" s="41" t="s">
        <v>1</v>
      </c>
      <c r="G5" s="46">
        <f>B2</f>
        <v>2023</v>
      </c>
      <c r="H5" s="46" t="s">
        <v>2</v>
      </c>
      <c r="I5" s="4" t="s">
        <v>13</v>
      </c>
      <c r="J5" s="45" t="s">
        <v>0</v>
      </c>
      <c r="K5" s="46">
        <f>D2</f>
        <v>2024</v>
      </c>
      <c r="L5" s="46" t="s">
        <v>189</v>
      </c>
      <c r="M5" s="4" t="s">
        <v>13</v>
      </c>
      <c r="N5" s="4"/>
      <c r="O5" s="54" t="s">
        <v>157</v>
      </c>
      <c r="P5" s="110">
        <v>-100</v>
      </c>
      <c r="Q5" s="52"/>
      <c r="R5" s="47"/>
    </row>
    <row r="6" spans="1:18" ht="13.5" thickBot="1" x14ac:dyDescent="0.25">
      <c r="A6" s="27" t="s">
        <v>3</v>
      </c>
      <c r="B6" s="28"/>
      <c r="C6" s="29"/>
      <c r="D6" s="30"/>
      <c r="E6" s="31"/>
      <c r="F6" s="28"/>
      <c r="G6" s="31"/>
      <c r="H6" s="84" t="s">
        <v>4</v>
      </c>
      <c r="I6" s="4"/>
      <c r="J6" s="30"/>
      <c r="K6" s="31"/>
      <c r="L6" s="84" t="s">
        <v>4</v>
      </c>
      <c r="M6" s="4"/>
      <c r="N6" s="4"/>
      <c r="O6" s="85">
        <f>D2</f>
        <v>2024</v>
      </c>
      <c r="P6" s="92">
        <f>SUM(P4:P5)</f>
        <v>2206</v>
      </c>
      <c r="Q6" s="115">
        <f>2*P6</f>
        <v>4412</v>
      </c>
    </row>
    <row r="7" spans="1:18" ht="13.5" thickTop="1" x14ac:dyDescent="0.2">
      <c r="A7" s="33" t="str">
        <f>Saldobalance!B9</f>
        <v>GEF</v>
      </c>
      <c r="B7" s="13"/>
      <c r="C7" s="3">
        <v>-714744</v>
      </c>
      <c r="D7" s="13"/>
      <c r="E7" s="15">
        <v>-747144</v>
      </c>
      <c r="F7" s="13"/>
      <c r="G7" s="15">
        <f>Saldobalance!D9</f>
        <v>-747144</v>
      </c>
      <c r="H7" s="9">
        <f>(G7-E7)/E7*100</f>
        <v>0</v>
      </c>
      <c r="I7" s="4"/>
      <c r="J7" s="13"/>
      <c r="K7" s="6">
        <f>-27*(P6)*12</f>
        <v>-714744</v>
      </c>
      <c r="L7" s="9">
        <f>(K7-E7)/E7*100</f>
        <v>-4.3365134431916736</v>
      </c>
      <c r="M7" s="4"/>
      <c r="N7" s="4" t="s">
        <v>422</v>
      </c>
      <c r="Q7" s="52"/>
    </row>
    <row r="8" spans="1:18" x14ac:dyDescent="0.2">
      <c r="A8" s="33" t="str">
        <f>Saldobalance!B11</f>
        <v xml:space="preserve">Rykkergebyr </v>
      </c>
      <c r="B8" s="13"/>
      <c r="C8" s="3">
        <v>-1100</v>
      </c>
      <c r="D8" s="13"/>
      <c r="E8" s="6">
        <v>-1000</v>
      </c>
      <c r="F8" s="13"/>
      <c r="G8" s="6">
        <f>Saldobalance!D11</f>
        <v>-1200</v>
      </c>
      <c r="H8" s="9">
        <f>(G8-E8)/E8*100</f>
        <v>20</v>
      </c>
      <c r="I8" s="4"/>
      <c r="J8" s="13"/>
      <c r="K8" s="6">
        <v>-1000</v>
      </c>
      <c r="L8" s="9">
        <f>(K8-E8)/E8*100</f>
        <v>0</v>
      </c>
      <c r="M8" s="4"/>
      <c r="N8" s="4"/>
      <c r="O8" s="75"/>
      <c r="P8" s="88"/>
      <c r="Q8" s="52"/>
    </row>
    <row r="9" spans="1:18" x14ac:dyDescent="0.2">
      <c r="A9" s="33" t="str">
        <f>Saldobalance!B12</f>
        <v>Andre indtægter</v>
      </c>
      <c r="B9" s="13"/>
      <c r="C9" s="49">
        <v>1477.55</v>
      </c>
      <c r="D9" s="13"/>
      <c r="E9" s="6">
        <v>0</v>
      </c>
      <c r="F9" s="13"/>
      <c r="G9" s="6">
        <f>Saldobalance!D12</f>
        <v>0</v>
      </c>
      <c r="H9" s="84" t="str">
        <f>IF(E9=0, "--",(G9-E9)/E9*100)</f>
        <v>--</v>
      </c>
      <c r="I9" s="4"/>
      <c r="J9" s="13"/>
      <c r="K9" s="49">
        <v>0</v>
      </c>
      <c r="L9" s="84" t="str">
        <f>IF(E9=0,"--",(K9-E9)/E9*100)</f>
        <v>--</v>
      </c>
      <c r="M9" s="4"/>
      <c r="N9" s="4"/>
      <c r="Q9" s="52"/>
    </row>
    <row r="10" spans="1:18" ht="13.5" thickBot="1" x14ac:dyDescent="0.25">
      <c r="A10" s="21" t="str">
        <f>Saldobalance!B13</f>
        <v>Fællesindtægter i alt</v>
      </c>
      <c r="B10" s="35"/>
      <c r="C10" s="7">
        <v>-714366.45</v>
      </c>
      <c r="D10" s="35"/>
      <c r="E10" s="7">
        <v>-748144</v>
      </c>
      <c r="F10" s="35"/>
      <c r="G10" s="7">
        <f>Saldobalance!D13</f>
        <v>-748344</v>
      </c>
      <c r="H10" s="98">
        <f>(G10-E10)/E10*100</f>
        <v>2.6732821488911224E-2</v>
      </c>
      <c r="I10" s="4"/>
      <c r="J10" s="35"/>
      <c r="K10" s="96">
        <f>SUM(K7:K9)</f>
        <v>-715744</v>
      </c>
      <c r="L10" s="99">
        <f>(K10-E10)/E10*100</f>
        <v>-4.3307170812036189</v>
      </c>
      <c r="M10" s="4"/>
      <c r="N10" s="4"/>
      <c r="Q10" s="52"/>
    </row>
    <row r="11" spans="1:18" x14ac:dyDescent="0.2">
      <c r="A11" s="12"/>
      <c r="B11" s="1"/>
      <c r="D11" s="1"/>
      <c r="F11" s="1"/>
      <c r="I11" s="4"/>
      <c r="J11" s="1"/>
      <c r="M11" s="4"/>
      <c r="N11" s="4"/>
      <c r="Q11" s="52"/>
    </row>
    <row r="12" spans="1:18" ht="13.5" thickBot="1" x14ac:dyDescent="0.25">
      <c r="A12" s="12"/>
      <c r="B12" s="1"/>
      <c r="C12" s="17"/>
      <c r="D12" s="1"/>
      <c r="E12" s="17"/>
      <c r="F12" s="1"/>
      <c r="G12" s="17"/>
      <c r="H12" s="17"/>
      <c r="I12" s="4"/>
      <c r="J12" s="1"/>
      <c r="K12" s="17"/>
      <c r="L12" s="17"/>
      <c r="M12" s="4"/>
      <c r="N12" s="4"/>
      <c r="Q12" s="52"/>
    </row>
    <row r="13" spans="1:18" x14ac:dyDescent="0.2">
      <c r="A13" s="23" t="s">
        <v>295</v>
      </c>
      <c r="B13" s="37"/>
      <c r="C13" s="24"/>
      <c r="D13" s="24"/>
      <c r="E13" s="24"/>
      <c r="F13" s="24"/>
      <c r="G13" s="24"/>
      <c r="H13" s="38"/>
      <c r="I13" s="4"/>
      <c r="J13" s="37"/>
      <c r="K13" s="24"/>
      <c r="L13" s="25"/>
      <c r="M13" s="4"/>
      <c r="N13" s="4"/>
      <c r="O13" s="75" t="s">
        <v>173</v>
      </c>
      <c r="P13" s="75"/>
      <c r="Q13" s="52"/>
    </row>
    <row r="14" spans="1:18" x14ac:dyDescent="0.2">
      <c r="A14" s="18"/>
      <c r="B14" s="43" t="str">
        <f>$B$5</f>
        <v xml:space="preserve">Regnskab </v>
      </c>
      <c r="C14" s="44">
        <f>$C$5</f>
        <v>2022</v>
      </c>
      <c r="D14" s="43" t="str">
        <f>$D$5</f>
        <v xml:space="preserve">Budget </v>
      </c>
      <c r="E14" s="44">
        <f>$E$5</f>
        <v>2023</v>
      </c>
      <c r="F14" s="43" t="str">
        <f>$F$5</f>
        <v xml:space="preserve">Regnskab </v>
      </c>
      <c r="G14" s="44">
        <f>$G$5</f>
        <v>2023</v>
      </c>
      <c r="H14" s="44" t="str">
        <f>$H$5</f>
        <v xml:space="preserve">Difference </v>
      </c>
      <c r="I14" s="4"/>
      <c r="J14" s="43" t="str">
        <f>$J$5</f>
        <v xml:space="preserve">Budget </v>
      </c>
      <c r="K14" s="44">
        <f>$K$5</f>
        <v>2024</v>
      </c>
      <c r="L14" s="44" t="str">
        <f>$L$5</f>
        <v>Stigning</v>
      </c>
      <c r="M14" s="4"/>
      <c r="N14" s="4"/>
      <c r="O14" s="75" t="s">
        <v>174</v>
      </c>
      <c r="P14" s="88">
        <f>K126</f>
        <v>10806.497060594149</v>
      </c>
      <c r="Q14" s="52"/>
    </row>
    <row r="15" spans="1:18" x14ac:dyDescent="0.2">
      <c r="A15" s="27" t="s">
        <v>3</v>
      </c>
      <c r="B15" s="30"/>
      <c r="C15" s="31"/>
      <c r="D15" s="30"/>
      <c r="E15" s="31"/>
      <c r="F15" s="30"/>
      <c r="G15" s="31"/>
      <c r="H15" s="84" t="s">
        <v>4</v>
      </c>
      <c r="I15" s="4"/>
      <c r="J15" s="30"/>
      <c r="K15" s="31"/>
      <c r="L15" s="84" t="s">
        <v>4</v>
      </c>
      <c r="M15" s="4"/>
      <c r="N15" s="4"/>
      <c r="O15" s="76"/>
      <c r="P15" s="88"/>
      <c r="Q15" s="52"/>
    </row>
    <row r="16" spans="1:18" x14ac:dyDescent="0.2">
      <c r="A16" s="19"/>
      <c r="B16" s="13"/>
      <c r="C16" s="6"/>
      <c r="D16" s="13"/>
      <c r="E16" s="6"/>
      <c r="F16" s="13"/>
      <c r="G16" s="6"/>
      <c r="H16" s="6"/>
      <c r="I16" s="4"/>
      <c r="J16" s="13"/>
      <c r="K16" s="6"/>
      <c r="L16" s="6"/>
      <c r="M16" s="4"/>
      <c r="N16" s="4"/>
      <c r="O16" s="75"/>
      <c r="P16" s="88"/>
      <c r="Q16" s="52"/>
    </row>
    <row r="17" spans="1:19" x14ac:dyDescent="0.2">
      <c r="A17" s="33" t="str">
        <f>Saldobalance!B17</f>
        <v>Rep og vedligehold</v>
      </c>
      <c r="B17" s="13"/>
      <c r="C17" s="2">
        <v>117548.3</v>
      </c>
      <c r="D17" s="13"/>
      <c r="E17" s="2">
        <v>154000</v>
      </c>
      <c r="F17" s="13"/>
      <c r="G17" s="2">
        <f>Saldobalance!D25</f>
        <v>181376.72</v>
      </c>
      <c r="H17" s="9">
        <f>(G17-E17)/E17*100</f>
        <v>17.777090909090909</v>
      </c>
      <c r="I17" s="4"/>
      <c r="J17" s="13"/>
      <c r="K17" s="2">
        <f>SUM(J18:J24)</f>
        <v>149000</v>
      </c>
      <c r="L17" s="9">
        <f>(K17-E17)/E17*100</f>
        <v>-3.2467532467532463</v>
      </c>
      <c r="M17" s="4"/>
      <c r="N17" s="4"/>
      <c r="O17" s="75" t="s">
        <v>175</v>
      </c>
      <c r="P17" s="88"/>
      <c r="Q17" s="52"/>
    </row>
    <row r="18" spans="1:19" x14ac:dyDescent="0.2">
      <c r="A18" s="10" t="str">
        <f>Saldobalance!B18</f>
        <v>Rep maskiner og anlæg</v>
      </c>
      <c r="B18" s="10">
        <v>10647.51</v>
      </c>
      <c r="C18" s="11"/>
      <c r="D18" s="271">
        <v>20000</v>
      </c>
      <c r="E18" s="272"/>
      <c r="F18" s="271">
        <f>Saldobalance!D18</f>
        <v>34427.64</v>
      </c>
      <c r="G18" s="272"/>
      <c r="H18" s="272"/>
      <c r="I18" s="273">
        <v>1</v>
      </c>
      <c r="J18" s="112">
        <v>20000</v>
      </c>
      <c r="K18" s="11"/>
      <c r="L18" s="11"/>
      <c r="M18" s="4"/>
      <c r="N18" s="4"/>
      <c r="O18" s="76" t="s">
        <v>187</v>
      </c>
      <c r="P18" s="88">
        <f>P6+(-P14/(27*12))</f>
        <v>2172.6466140105117</v>
      </c>
      <c r="Q18" s="135"/>
      <c r="R18" s="136"/>
      <c r="S18" s="136"/>
    </row>
    <row r="19" spans="1:19" x14ac:dyDescent="0.2">
      <c r="A19" s="10" t="str">
        <f>Saldobalance!B19</f>
        <v>Rep og service af jordvarme</v>
      </c>
      <c r="B19" s="10">
        <v>25117.439999999999</v>
      </c>
      <c r="C19" s="11"/>
      <c r="D19" s="271">
        <v>40000</v>
      </c>
      <c r="E19" s="272"/>
      <c r="F19" s="271">
        <f>Saldobalance!D19</f>
        <v>50536.81</v>
      </c>
      <c r="G19" s="272"/>
      <c r="H19" s="272"/>
      <c r="I19" s="273">
        <v>2</v>
      </c>
      <c r="J19" s="270">
        <v>50000</v>
      </c>
      <c r="K19" s="268"/>
      <c r="L19" s="268"/>
      <c r="M19" s="269" t="s">
        <v>306</v>
      </c>
      <c r="N19" s="269"/>
      <c r="O19" s="76" t="s">
        <v>185</v>
      </c>
      <c r="P19" s="88">
        <f>P18-P6</f>
        <v>-33.353385989488288</v>
      </c>
      <c r="Q19" s="52"/>
      <c r="R19" s="91"/>
    </row>
    <row r="20" spans="1:19" x14ac:dyDescent="0.2">
      <c r="A20" s="10" t="str">
        <f>Saldobalance!B20</f>
        <v>Rep. vaskeriet</v>
      </c>
      <c r="B20" s="79">
        <v>14502.65</v>
      </c>
      <c r="C20" s="80"/>
      <c r="D20" s="79">
        <v>15000</v>
      </c>
      <c r="E20" s="80"/>
      <c r="F20" s="79">
        <f>Saldobalance!D20</f>
        <v>4879.25</v>
      </c>
      <c r="G20" s="80"/>
      <c r="H20" s="80"/>
      <c r="I20" s="4"/>
      <c r="J20" s="94">
        <v>15000</v>
      </c>
      <c r="K20" s="11"/>
      <c r="L20" s="80"/>
      <c r="M20" s="4"/>
      <c r="N20" s="4"/>
      <c r="Q20" s="52"/>
      <c r="R20" s="63"/>
    </row>
    <row r="21" spans="1:19" x14ac:dyDescent="0.2">
      <c r="A21" s="10" t="str">
        <f>Saldobalance!B21</f>
        <v>Indv. vedl. FÆ-hus</v>
      </c>
      <c r="B21" s="10">
        <v>2103.9</v>
      </c>
      <c r="C21" s="11"/>
      <c r="D21" s="10">
        <v>10000</v>
      </c>
      <c r="E21" s="11"/>
      <c r="F21" s="10">
        <f>Saldobalance!D21</f>
        <v>3711.45</v>
      </c>
      <c r="G21" s="11"/>
      <c r="H21" s="11"/>
      <c r="I21" s="4"/>
      <c r="J21" s="94">
        <v>10000</v>
      </c>
      <c r="K21" s="11"/>
      <c r="L21" s="11"/>
      <c r="M21" s="4"/>
      <c r="N21" s="4" t="s">
        <v>422</v>
      </c>
      <c r="Q21" s="52"/>
      <c r="R21" s="63"/>
    </row>
    <row r="22" spans="1:19" x14ac:dyDescent="0.2">
      <c r="A22" s="10" t="str">
        <f>Saldobalance!B22</f>
        <v>Udv. vedl. FÆ-hus</v>
      </c>
      <c r="B22" s="10">
        <v>21626.25</v>
      </c>
      <c r="C22" s="11"/>
      <c r="D22" s="10">
        <v>10000</v>
      </c>
      <c r="E22" s="11"/>
      <c r="F22" s="10">
        <f>Saldobalance!D22</f>
        <v>830.35</v>
      </c>
      <c r="G22" s="11"/>
      <c r="H22" s="11"/>
      <c r="I22" s="4" t="s">
        <v>221</v>
      </c>
      <c r="J22" s="112">
        <v>10000</v>
      </c>
      <c r="K22" s="11"/>
      <c r="L22" s="11"/>
      <c r="M22" s="4"/>
      <c r="N22" s="4"/>
      <c r="Q22" s="52"/>
      <c r="R22" s="63"/>
    </row>
    <row r="23" spans="1:19" x14ac:dyDescent="0.2">
      <c r="A23" s="10" t="str">
        <f>Saldobalance!B23</f>
        <v>Vedl. fællesarealer</v>
      </c>
      <c r="B23" s="10">
        <v>23550.55</v>
      </c>
      <c r="C23" s="11"/>
      <c r="D23" s="271">
        <v>30000</v>
      </c>
      <c r="E23" s="272"/>
      <c r="F23" s="271">
        <f>Saldobalance!D23</f>
        <v>57991.22</v>
      </c>
      <c r="G23" s="272"/>
      <c r="H23" s="272"/>
      <c r="I23" s="273">
        <v>3</v>
      </c>
      <c r="J23" s="112">
        <v>30000</v>
      </c>
      <c r="K23" s="11"/>
      <c r="L23" s="11"/>
      <c r="M23" s="4"/>
      <c r="N23" s="4"/>
      <c r="O23" s="76"/>
      <c r="Q23" s="52"/>
      <c r="R23" s="63"/>
    </row>
    <row r="24" spans="1:19" x14ac:dyDescent="0.2">
      <c r="A24" s="10" t="str">
        <f>Saldobalance!B24</f>
        <v>Vedl. fællesvej</v>
      </c>
      <c r="B24" s="10">
        <v>20000</v>
      </c>
      <c r="C24" s="11"/>
      <c r="D24" s="271">
        <v>29000</v>
      </c>
      <c r="E24" s="272"/>
      <c r="F24" s="271">
        <f>Saldobalance!D24</f>
        <v>29000</v>
      </c>
      <c r="G24" s="272"/>
      <c r="H24" s="272"/>
      <c r="I24" s="273">
        <v>4</v>
      </c>
      <c r="J24" s="270">
        <v>14000</v>
      </c>
      <c r="K24" s="268"/>
      <c r="L24" s="268"/>
      <c r="M24" s="269" t="s">
        <v>307</v>
      </c>
      <c r="N24" s="269"/>
      <c r="O24" s="91"/>
      <c r="P24" s="63"/>
      <c r="Q24" s="52"/>
    </row>
    <row r="25" spans="1:19" x14ac:dyDescent="0.2">
      <c r="A25" s="19"/>
      <c r="B25" s="13"/>
      <c r="C25" s="6"/>
      <c r="D25" s="13"/>
      <c r="E25" s="6"/>
      <c r="F25" s="13"/>
      <c r="G25" s="6"/>
      <c r="H25" s="6"/>
      <c r="I25" s="4"/>
      <c r="J25" s="13"/>
      <c r="K25" s="6"/>
      <c r="L25" s="6"/>
      <c r="M25" s="4"/>
      <c r="N25" s="4"/>
      <c r="Q25" s="52"/>
    </row>
    <row r="26" spans="1:19" x14ac:dyDescent="0.2">
      <c r="A26" s="33" t="str">
        <f>Saldobalance!B27</f>
        <v>Drift Fælleshus mv.</v>
      </c>
      <c r="B26" s="13"/>
      <c r="C26" s="2">
        <v>32200.89</v>
      </c>
      <c r="D26" s="13"/>
      <c r="E26" s="2">
        <v>26000</v>
      </c>
      <c r="F26" s="13"/>
      <c r="G26" s="2">
        <f>Saldobalance!D36</f>
        <v>22172.59</v>
      </c>
      <c r="H26" s="9">
        <f>(G26-E26)/E26*100</f>
        <v>-14.720807692307691</v>
      </c>
      <c r="I26" s="4"/>
      <c r="J26" s="13"/>
      <c r="K26" s="93">
        <f>SUM(J27:J33)</f>
        <v>32200</v>
      </c>
      <c r="L26" s="9">
        <f>(K26-E26)/E26*100</f>
        <v>23.846153846153847</v>
      </c>
      <c r="M26" s="4"/>
      <c r="N26" s="4"/>
      <c r="Q26" s="52"/>
    </row>
    <row r="27" spans="1:19" x14ac:dyDescent="0.2">
      <c r="A27" s="10" t="str">
        <f>Saldobalance!B28</f>
        <v>Inventar</v>
      </c>
      <c r="B27" s="10">
        <v>909</v>
      </c>
      <c r="C27" s="11"/>
      <c r="D27" s="10">
        <v>2000</v>
      </c>
      <c r="E27" s="11"/>
      <c r="F27" s="10">
        <f>Saldobalance!D28</f>
        <v>224</v>
      </c>
      <c r="G27" s="11"/>
      <c r="H27" s="11"/>
      <c r="I27" s="4"/>
      <c r="J27" s="94">
        <v>2000</v>
      </c>
      <c r="K27" s="11"/>
      <c r="L27" s="11"/>
      <c r="M27" s="4"/>
      <c r="N27" s="4"/>
    </row>
    <row r="28" spans="1:19" x14ac:dyDescent="0.2">
      <c r="A28" s="10" t="str">
        <f>Saldobalance!B29</f>
        <v>Køkkenudstyr</v>
      </c>
      <c r="B28" s="10">
        <v>8939.2199999999993</v>
      </c>
      <c r="C28" s="11"/>
      <c r="D28" s="10">
        <v>9000</v>
      </c>
      <c r="E28" s="11"/>
      <c r="F28" s="10">
        <f>Saldobalance!D29</f>
        <v>6376.6</v>
      </c>
      <c r="G28" s="11"/>
      <c r="H28" s="11"/>
      <c r="I28" s="4"/>
      <c r="J28" s="94">
        <v>9000</v>
      </c>
      <c r="K28" s="11"/>
      <c r="L28" s="11"/>
      <c r="M28" s="4"/>
      <c r="N28" s="4"/>
    </row>
    <row r="29" spans="1:19" x14ac:dyDescent="0.2">
      <c r="A29" s="10" t="str">
        <f>Saldobalance!B30</f>
        <v>EL-artik, pærer mv</v>
      </c>
      <c r="B29" s="10">
        <v>2658.4</v>
      </c>
      <c r="C29" s="11"/>
      <c r="D29" s="10">
        <v>2500</v>
      </c>
      <c r="E29" s="11"/>
      <c r="F29" s="10">
        <f>Saldobalance!D30</f>
        <v>0</v>
      </c>
      <c r="G29" s="11"/>
      <c r="H29" s="11"/>
      <c r="I29" s="4"/>
      <c r="J29" s="94">
        <v>2500</v>
      </c>
      <c r="K29" s="11"/>
      <c r="L29" s="11"/>
      <c r="M29" s="4"/>
      <c r="N29" s="4"/>
    </row>
    <row r="30" spans="1:19" x14ac:dyDescent="0.2">
      <c r="A30" s="10" t="str">
        <f>Saldobalance!B31</f>
        <v>Rengøringsmidler/-artikler, papir</v>
      </c>
      <c r="B30" s="10">
        <v>13085.53</v>
      </c>
      <c r="C30" s="11"/>
      <c r="D30" s="271">
        <v>8000</v>
      </c>
      <c r="E30" s="272"/>
      <c r="F30" s="271">
        <f>Saldobalance!D31</f>
        <v>13391.28</v>
      </c>
      <c r="G30" s="272"/>
      <c r="H30" s="272"/>
      <c r="I30" s="273">
        <v>5</v>
      </c>
      <c r="J30" s="270">
        <v>14000</v>
      </c>
      <c r="K30" s="268"/>
      <c r="L30" s="268"/>
      <c r="M30" s="269" t="s">
        <v>308</v>
      </c>
      <c r="N30" s="269"/>
      <c r="O30" s="3"/>
    </row>
    <row r="31" spans="1:19" x14ac:dyDescent="0.2">
      <c r="A31" s="10" t="str">
        <f>Saldobalance!B32</f>
        <v>Lys, blomster</v>
      </c>
      <c r="B31" s="10">
        <v>200</v>
      </c>
      <c r="C31" s="11"/>
      <c r="D31" s="10">
        <v>500</v>
      </c>
      <c r="E31" s="11"/>
      <c r="F31" s="10">
        <f>Saldobalance!D32</f>
        <v>80</v>
      </c>
      <c r="G31" s="11"/>
      <c r="H31" s="11"/>
      <c r="I31" s="4"/>
      <c r="J31" s="94">
        <v>500</v>
      </c>
      <c r="K31" s="11"/>
      <c r="L31" s="11"/>
      <c r="M31" s="4"/>
      <c r="N31" s="4"/>
    </row>
    <row r="32" spans="1:19" x14ac:dyDescent="0.2">
      <c r="A32" s="10" t="str">
        <f>Saldobalance!B33</f>
        <v>Krydderier</v>
      </c>
      <c r="B32" s="10">
        <v>3641.99</v>
      </c>
      <c r="C32" s="11"/>
      <c r="D32" s="10">
        <v>4000</v>
      </c>
      <c r="E32" s="11"/>
      <c r="F32" s="10">
        <f>Saldobalance!D33</f>
        <v>142.5</v>
      </c>
      <c r="G32" s="11"/>
      <c r="H32" s="11"/>
      <c r="I32" s="4"/>
      <c r="J32" s="270">
        <v>4200</v>
      </c>
      <c r="K32" s="268"/>
      <c r="L32" s="268"/>
      <c r="M32" s="269" t="s">
        <v>309</v>
      </c>
      <c r="N32" s="269"/>
    </row>
    <row r="33" spans="1:15" x14ac:dyDescent="0.2">
      <c r="A33" s="10" t="str">
        <f>Saldobalance!B34</f>
        <v>Diverse Fælleshus</v>
      </c>
      <c r="B33" s="10">
        <v>2766.75</v>
      </c>
      <c r="C33" s="11"/>
      <c r="D33" s="271">
        <v>0</v>
      </c>
      <c r="E33" s="272"/>
      <c r="F33" s="271">
        <f>Saldobalance!D34</f>
        <v>1958.21</v>
      </c>
      <c r="G33" s="272"/>
      <c r="H33" s="272"/>
      <c r="I33" s="273">
        <v>6</v>
      </c>
      <c r="J33" s="94">
        <v>0</v>
      </c>
      <c r="K33" s="11"/>
      <c r="L33" s="11"/>
      <c r="M33" s="4"/>
      <c r="N33" s="4"/>
    </row>
    <row r="34" spans="1:15" x14ac:dyDescent="0.2">
      <c r="A34" s="19"/>
      <c r="B34" s="13"/>
      <c r="C34" s="2"/>
      <c r="D34" s="13"/>
      <c r="E34" s="2"/>
      <c r="F34" s="13"/>
      <c r="G34" s="2"/>
      <c r="H34" s="2"/>
      <c r="I34" s="4"/>
      <c r="J34" s="13"/>
      <c r="K34" s="2"/>
      <c r="L34" s="2"/>
      <c r="M34" s="4"/>
      <c r="N34" s="4"/>
    </row>
    <row r="35" spans="1:15" x14ac:dyDescent="0.2">
      <c r="A35" s="33" t="str">
        <f>Saldobalance!B38</f>
        <v>Arrang/kultur/gaver</v>
      </c>
      <c r="B35" s="13"/>
      <c r="C35" s="2">
        <v>68086.87</v>
      </c>
      <c r="D35" s="13"/>
      <c r="E35" s="2">
        <v>61350</v>
      </c>
      <c r="F35" s="13"/>
      <c r="G35" s="2">
        <f>Saldobalance!D49</f>
        <v>45215.669999999991</v>
      </c>
      <c r="H35" s="9">
        <f>(G35-E35)/E35*100</f>
        <v>-26.298826405867988</v>
      </c>
      <c r="I35" s="4"/>
      <c r="J35" s="13"/>
      <c r="K35" s="93">
        <f>SUM(J36:J45)</f>
        <v>59350</v>
      </c>
      <c r="L35" s="9">
        <f>(K35-E35)/E35*100</f>
        <v>-3.2599837000814995</v>
      </c>
      <c r="M35" s="4"/>
      <c r="N35" s="4"/>
    </row>
    <row r="36" spans="1:15" x14ac:dyDescent="0.2">
      <c r="A36" s="10" t="str">
        <f>Saldobalance!B39</f>
        <v>Gaver</v>
      </c>
      <c r="B36" s="10">
        <v>6028</v>
      </c>
      <c r="C36" s="11"/>
      <c r="D36" s="10">
        <v>5000</v>
      </c>
      <c r="E36" s="11"/>
      <c r="F36" s="10">
        <f>Saldobalance!D39</f>
        <v>1000</v>
      </c>
      <c r="G36" s="11"/>
      <c r="H36" s="11"/>
      <c r="I36" s="4"/>
      <c r="J36" s="94">
        <v>3000</v>
      </c>
      <c r="K36" s="11"/>
      <c r="L36" s="11"/>
      <c r="M36" s="4"/>
      <c r="N36" s="4"/>
    </row>
    <row r="37" spans="1:15" x14ac:dyDescent="0.2">
      <c r="A37" s="10" t="str">
        <f>Saldobalance!B40</f>
        <v>Fester/kultur</v>
      </c>
      <c r="B37" s="10">
        <v>3829.55</v>
      </c>
      <c r="C37" s="11"/>
      <c r="D37" s="271">
        <v>12000</v>
      </c>
      <c r="E37" s="272"/>
      <c r="F37" s="271">
        <f>Saldobalance!D40</f>
        <v>11472.21</v>
      </c>
      <c r="G37" s="272"/>
      <c r="H37" s="272"/>
      <c r="I37" s="273">
        <v>7</v>
      </c>
      <c r="J37" s="270">
        <v>9000</v>
      </c>
      <c r="K37" s="268"/>
      <c r="L37" s="268"/>
      <c r="M37" s="269" t="s">
        <v>310</v>
      </c>
      <c r="N37" s="269"/>
    </row>
    <row r="38" spans="1:15" x14ac:dyDescent="0.2">
      <c r="A38" s="10" t="str">
        <f>Saldobalance!B41</f>
        <v>Fortæring arbejdsweekends</v>
      </c>
      <c r="B38" s="10">
        <v>12247</v>
      </c>
      <c r="C38" s="11"/>
      <c r="D38" s="10">
        <v>12000</v>
      </c>
      <c r="E38" s="11"/>
      <c r="F38" s="10">
        <f>Saldobalance!D41</f>
        <v>13331.63</v>
      </c>
      <c r="G38" s="11"/>
      <c r="H38" s="11"/>
      <c r="I38" s="4"/>
      <c r="J38" s="94">
        <v>13000</v>
      </c>
      <c r="K38" s="11"/>
      <c r="L38" s="11"/>
      <c r="M38" s="4"/>
      <c r="N38" s="4"/>
    </row>
    <row r="39" spans="1:15" x14ac:dyDescent="0.2">
      <c r="A39" s="10" t="str">
        <f>Saldobalance!B42</f>
        <v>Fortæring generalforsamling</v>
      </c>
      <c r="B39" s="10">
        <v>1523.12</v>
      </c>
      <c r="C39" s="11"/>
      <c r="D39" s="10">
        <v>1000</v>
      </c>
      <c r="E39" s="11"/>
      <c r="F39" s="10">
        <f>Saldobalance!D42</f>
        <v>1025.25</v>
      </c>
      <c r="G39" s="11"/>
      <c r="H39" s="11"/>
      <c r="I39" s="4"/>
      <c r="J39" s="270">
        <v>2500</v>
      </c>
      <c r="K39" s="268"/>
      <c r="L39" s="268"/>
      <c r="M39" s="269" t="s">
        <v>311</v>
      </c>
      <c r="N39" s="269"/>
    </row>
    <row r="40" spans="1:15" x14ac:dyDescent="0.2">
      <c r="A40" s="10" t="str">
        <f>Saldobalance!B43</f>
        <v>Adventsarrangementer</v>
      </c>
      <c r="B40" s="10">
        <v>2746.6</v>
      </c>
      <c r="C40" s="11"/>
      <c r="D40" s="10">
        <v>2500</v>
      </c>
      <c r="E40" s="11"/>
      <c r="F40" s="10">
        <f>Saldobalance!D43</f>
        <v>3808.1</v>
      </c>
      <c r="G40" s="11"/>
      <c r="H40" s="11"/>
      <c r="I40" s="4"/>
      <c r="J40" s="94">
        <v>3000</v>
      </c>
      <c r="K40" s="11"/>
      <c r="L40" s="11"/>
      <c r="M40" s="4"/>
      <c r="N40" s="4"/>
    </row>
    <row r="41" spans="1:15" x14ac:dyDescent="0.2">
      <c r="A41" s="10" t="str">
        <f>Saldobalance!B44</f>
        <v>Fastelavn</v>
      </c>
      <c r="B41" s="10">
        <v>1698.75</v>
      </c>
      <c r="C41" s="11"/>
      <c r="D41" s="10">
        <v>2350</v>
      </c>
      <c r="E41" s="11"/>
      <c r="F41" s="10">
        <f>Saldobalance!D44</f>
        <v>2347.7800000000002</v>
      </c>
      <c r="G41" s="11"/>
      <c r="H41" s="11"/>
      <c r="I41" s="4"/>
      <c r="J41" s="94">
        <v>2350</v>
      </c>
      <c r="K41" s="11"/>
      <c r="L41" s="11"/>
      <c r="M41" s="4"/>
      <c r="N41" s="4"/>
    </row>
    <row r="42" spans="1:15" x14ac:dyDescent="0.2">
      <c r="A42" s="10" t="str">
        <f>Saldobalance!B45</f>
        <v>Cafemøder og fællesmøder</v>
      </c>
      <c r="B42" s="10">
        <v>1290.9000000000001</v>
      </c>
      <c r="C42" s="11"/>
      <c r="D42" s="10">
        <v>3500</v>
      </c>
      <c r="E42" s="11"/>
      <c r="F42" s="10">
        <f>Saldobalance!D45</f>
        <v>839.9</v>
      </c>
      <c r="G42" s="11"/>
      <c r="H42" s="11"/>
      <c r="I42" s="4"/>
      <c r="J42" s="94">
        <v>3500</v>
      </c>
      <c r="K42" s="11"/>
      <c r="L42" s="11"/>
      <c r="M42" s="4"/>
      <c r="N42" s="4"/>
    </row>
    <row r="43" spans="1:15" x14ac:dyDescent="0.2">
      <c r="A43" s="10" t="str">
        <f>Saldobalance!B46</f>
        <v>Bakkeweekend</v>
      </c>
      <c r="B43" s="10">
        <v>38332.949999999997</v>
      </c>
      <c r="C43" s="11"/>
      <c r="D43" s="271">
        <v>20000</v>
      </c>
      <c r="E43" s="272"/>
      <c r="F43" s="271">
        <f>Saldobalance!D46</f>
        <v>10244.950000000001</v>
      </c>
      <c r="G43" s="272"/>
      <c r="H43" s="272"/>
      <c r="I43" s="273">
        <v>8</v>
      </c>
      <c r="J43" s="94">
        <v>20000</v>
      </c>
      <c r="K43" s="11"/>
      <c r="L43" s="11"/>
      <c r="M43" s="4"/>
      <c r="N43" s="4"/>
      <c r="O43" s="133"/>
    </row>
    <row r="44" spans="1:15" x14ac:dyDescent="0.2">
      <c r="A44" s="10" t="str">
        <f>Saldobalance!B47</f>
        <v>Skt. Hans</v>
      </c>
      <c r="B44" s="10">
        <v>390</v>
      </c>
      <c r="C44" s="11"/>
      <c r="D44" s="10">
        <v>1000</v>
      </c>
      <c r="E44" s="11"/>
      <c r="F44" s="10">
        <f>Saldobalance!D47</f>
        <v>868</v>
      </c>
      <c r="G44" s="11"/>
      <c r="H44" s="11"/>
      <c r="I44" s="4"/>
      <c r="J44" s="94">
        <v>1000</v>
      </c>
      <c r="K44" s="11"/>
      <c r="L44" s="11"/>
      <c r="M44" s="4"/>
      <c r="N44" s="4"/>
      <c r="O44" s="133"/>
    </row>
    <row r="45" spans="1:15" x14ac:dyDescent="0.2">
      <c r="A45" s="10" t="str">
        <f>Saldobalance!B48</f>
        <v>Torvedag</v>
      </c>
      <c r="B45" s="10">
        <v>0</v>
      </c>
      <c r="C45" s="11"/>
      <c r="D45" s="10">
        <v>2000</v>
      </c>
      <c r="E45" s="11"/>
      <c r="F45" s="10">
        <f>Saldobalance!D48</f>
        <v>277.85000000000002</v>
      </c>
      <c r="G45" s="11"/>
      <c r="H45" s="11"/>
      <c r="I45" s="4"/>
      <c r="J45" s="94">
        <v>2000</v>
      </c>
      <c r="K45" s="11"/>
      <c r="L45" s="11"/>
      <c r="M45" s="4"/>
      <c r="N45" s="4"/>
    </row>
    <row r="46" spans="1:15" x14ac:dyDescent="0.2">
      <c r="A46" s="32"/>
      <c r="B46" s="32"/>
      <c r="C46" s="34"/>
      <c r="D46" s="32"/>
      <c r="E46" s="34"/>
      <c r="F46" s="32"/>
      <c r="G46" s="34"/>
      <c r="H46" s="34"/>
      <c r="I46" s="4"/>
      <c r="J46" s="32"/>
      <c r="K46" s="34"/>
      <c r="L46" s="34"/>
      <c r="M46" s="4"/>
      <c r="N46" s="4"/>
    </row>
    <row r="47" spans="1:15" x14ac:dyDescent="0.2">
      <c r="A47" s="33" t="str">
        <f>Saldobalance!B51</f>
        <v>Informationsteknologi</v>
      </c>
      <c r="B47" s="13"/>
      <c r="C47" s="2">
        <v>15050.720000000001</v>
      </c>
      <c r="D47" s="13"/>
      <c r="E47" s="2">
        <v>15400</v>
      </c>
      <c r="F47" s="13"/>
      <c r="G47" s="2">
        <f>Saldobalance!D56</f>
        <v>15659.880000000001</v>
      </c>
      <c r="H47" s="9">
        <f>(G47-E47)/E47*100</f>
        <v>1.6875324675324741</v>
      </c>
      <c r="I47" s="4"/>
      <c r="J47" s="13"/>
      <c r="K47" s="93">
        <f>SUM(J48:J51)</f>
        <v>16600</v>
      </c>
      <c r="L47" s="9">
        <f>(K47-E47)/E47*100</f>
        <v>7.7922077922077921</v>
      </c>
      <c r="M47" s="4"/>
      <c r="N47" s="4"/>
    </row>
    <row r="48" spans="1:15" x14ac:dyDescent="0.2">
      <c r="A48" s="10" t="str">
        <f>Saldobalance!B52</f>
        <v>Telefon / bredbånd</v>
      </c>
      <c r="B48" s="10">
        <v>3867</v>
      </c>
      <c r="C48" s="11"/>
      <c r="D48" s="10">
        <v>3900</v>
      </c>
      <c r="E48" s="11"/>
      <c r="F48" s="10">
        <f>Saldobalance!D52</f>
        <v>4032</v>
      </c>
      <c r="G48" s="11"/>
      <c r="H48" s="11"/>
      <c r="I48" s="4"/>
      <c r="J48" s="94">
        <v>4000</v>
      </c>
      <c r="K48" s="11"/>
      <c r="L48" s="11"/>
      <c r="M48" s="4"/>
      <c r="N48" s="4"/>
    </row>
    <row r="49" spans="1:14" x14ac:dyDescent="0.2">
      <c r="A49" s="10" t="str">
        <f>Saldobalance!B53</f>
        <v>TV + licens</v>
      </c>
      <c r="B49" s="10">
        <v>6647.97</v>
      </c>
      <c r="C49" s="11"/>
      <c r="D49" s="10">
        <v>6500</v>
      </c>
      <c r="E49" s="11"/>
      <c r="F49" s="10">
        <f>Saldobalance!D53</f>
        <v>7007.88</v>
      </c>
      <c r="G49" s="11"/>
      <c r="H49" s="11"/>
      <c r="I49" s="4"/>
      <c r="J49" s="94">
        <v>7600</v>
      </c>
      <c r="K49" s="11"/>
      <c r="L49" s="11"/>
      <c r="M49" s="4"/>
      <c r="N49" s="4"/>
    </row>
    <row r="50" spans="1:14" x14ac:dyDescent="0.2">
      <c r="A50" s="10" t="str">
        <f>Saldobalance!B54</f>
        <v>Hjemmeside/e-mail</v>
      </c>
      <c r="B50" s="10">
        <v>3827.75</v>
      </c>
      <c r="C50" s="11"/>
      <c r="D50" s="10">
        <v>4000</v>
      </c>
      <c r="E50" s="11"/>
      <c r="F50" s="10">
        <f>Saldobalance!D54</f>
        <v>3829</v>
      </c>
      <c r="G50" s="11"/>
      <c r="H50" s="11"/>
      <c r="I50" s="4"/>
      <c r="J50" s="112">
        <v>4000</v>
      </c>
      <c r="K50" s="11"/>
      <c r="L50" s="11"/>
      <c r="M50" s="4"/>
      <c r="N50" s="4"/>
    </row>
    <row r="51" spans="1:14" x14ac:dyDescent="0.2">
      <c r="A51" s="10" t="str">
        <f>Saldobalance!B55</f>
        <v>Tidsskrifter</v>
      </c>
      <c r="B51" s="10">
        <v>708</v>
      </c>
      <c r="C51" s="11"/>
      <c r="D51" s="10">
        <v>1000</v>
      </c>
      <c r="E51" s="11"/>
      <c r="F51" s="10">
        <f>Saldobalance!D55</f>
        <v>791</v>
      </c>
      <c r="G51" s="11"/>
      <c r="H51" s="11"/>
      <c r="I51" s="4"/>
      <c r="J51" s="94">
        <v>1000</v>
      </c>
      <c r="K51" s="11"/>
      <c r="L51" s="11"/>
      <c r="M51" s="4"/>
      <c r="N51" s="4"/>
    </row>
    <row r="52" spans="1:14" x14ac:dyDescent="0.2">
      <c r="A52" s="19"/>
      <c r="B52" s="13"/>
      <c r="C52" s="5"/>
      <c r="D52" s="13"/>
      <c r="E52" s="2"/>
      <c r="F52" s="13"/>
      <c r="G52" s="2"/>
      <c r="H52" s="2"/>
      <c r="I52" s="4"/>
      <c r="J52" s="13"/>
      <c r="K52" s="2"/>
      <c r="L52" s="2"/>
      <c r="M52" s="4"/>
      <c r="N52" s="4"/>
    </row>
    <row r="53" spans="1:14" x14ac:dyDescent="0.2">
      <c r="A53" s="33" t="str">
        <f>Saldobalance!B57</f>
        <v>Genanskaffelser</v>
      </c>
      <c r="B53" s="13"/>
      <c r="C53" s="5">
        <v>5500.63</v>
      </c>
      <c r="D53" s="13"/>
      <c r="E53" s="2">
        <v>20000</v>
      </c>
      <c r="F53" s="13"/>
      <c r="G53" s="2">
        <f>Saldobalance!D57</f>
        <v>2803.46</v>
      </c>
      <c r="H53" s="9">
        <f>IF(E53=0, "--",(G53-E53)/E53*100)</f>
        <v>-85.982699999999994</v>
      </c>
      <c r="I53" s="4"/>
      <c r="J53" s="13"/>
      <c r="K53" s="95">
        <v>20000</v>
      </c>
      <c r="L53" s="9">
        <f>IF(E53=0,"--",(K53-E53)/E53*100)</f>
        <v>0</v>
      </c>
      <c r="M53" s="4"/>
      <c r="N53" s="4"/>
    </row>
    <row r="54" spans="1:14" x14ac:dyDescent="0.2">
      <c r="A54" s="33"/>
      <c r="B54" s="13"/>
      <c r="C54" s="5"/>
      <c r="D54" s="13"/>
      <c r="E54" s="2"/>
      <c r="F54" s="13"/>
      <c r="G54" s="2"/>
      <c r="H54" s="9"/>
      <c r="I54" s="4"/>
      <c r="J54" s="13"/>
      <c r="K54" s="95"/>
      <c r="L54" s="9"/>
      <c r="M54" s="4"/>
      <c r="N54" s="4"/>
    </row>
    <row r="55" spans="1:14" x14ac:dyDescent="0.2">
      <c r="A55" s="33" t="str">
        <f>Saldobalance!B58</f>
        <v>Nyanskaffelser</v>
      </c>
      <c r="B55" s="13"/>
      <c r="C55" s="5">
        <v>857</v>
      </c>
      <c r="D55" s="271"/>
      <c r="E55" s="272">
        <v>40000</v>
      </c>
      <c r="F55" s="271"/>
      <c r="G55" s="272">
        <f>Saldobalance!D58</f>
        <v>50926.29</v>
      </c>
      <c r="H55" s="272">
        <f>(G55-E55)/E55*100</f>
        <v>27.315725</v>
      </c>
      <c r="I55" s="273">
        <v>9</v>
      </c>
      <c r="J55" s="270"/>
      <c r="K55" s="268">
        <v>20000</v>
      </c>
      <c r="L55" s="268">
        <f>(K55-E55)/E55*100</f>
        <v>-50</v>
      </c>
      <c r="M55" s="269" t="s">
        <v>312</v>
      </c>
      <c r="N55" s="269"/>
    </row>
    <row r="56" spans="1:14" x14ac:dyDescent="0.2">
      <c r="A56" s="33"/>
      <c r="B56" s="13"/>
      <c r="C56" s="5"/>
      <c r="D56" s="13"/>
      <c r="E56" s="2"/>
      <c r="F56" s="13"/>
      <c r="G56" s="2"/>
      <c r="H56" s="9"/>
      <c r="I56" s="4"/>
      <c r="J56" s="13"/>
      <c r="K56" s="2"/>
      <c r="L56" s="9"/>
      <c r="M56" s="4"/>
      <c r="N56" s="4"/>
    </row>
    <row r="57" spans="1:14" x14ac:dyDescent="0.2">
      <c r="A57" s="33" t="str">
        <f>Saldobalance!B59</f>
        <v>Markedsføring</v>
      </c>
      <c r="B57" s="13"/>
      <c r="C57" s="5">
        <v>0</v>
      </c>
      <c r="D57" s="13"/>
      <c r="E57" s="2">
        <v>1300</v>
      </c>
      <c r="F57" s="13"/>
      <c r="G57" s="2">
        <f>Saldobalance!D59</f>
        <v>1601.8</v>
      </c>
      <c r="H57" s="9">
        <f>(G57-E57)/E57*100</f>
        <v>23.215384615384611</v>
      </c>
      <c r="I57" s="4"/>
      <c r="J57" s="270"/>
      <c r="K57" s="268">
        <v>1000</v>
      </c>
      <c r="L57" s="268">
        <f>(K57-E57)/E57*100</f>
        <v>-23.076923076923077</v>
      </c>
      <c r="M57" s="269" t="s">
        <v>313</v>
      </c>
      <c r="N57" s="269"/>
    </row>
    <row r="58" spans="1:14" x14ac:dyDescent="0.2">
      <c r="A58" s="33"/>
      <c r="B58" s="13"/>
      <c r="C58" s="5"/>
      <c r="D58" s="13"/>
      <c r="E58" s="2"/>
      <c r="F58" s="13"/>
      <c r="G58" s="2"/>
      <c r="H58" s="9"/>
      <c r="I58" s="4"/>
      <c r="J58" s="13"/>
      <c r="K58" s="2"/>
      <c r="L58" s="9"/>
      <c r="M58" s="4"/>
      <c r="N58" s="4"/>
    </row>
    <row r="59" spans="1:14" x14ac:dyDescent="0.2">
      <c r="A59" s="33" t="str">
        <f>Saldobalance!B61</f>
        <v>Får</v>
      </c>
      <c r="B59" s="13"/>
      <c r="C59" s="5">
        <v>8621.11</v>
      </c>
      <c r="D59" s="13"/>
      <c r="E59" s="2">
        <v>8000</v>
      </c>
      <c r="F59" s="13"/>
      <c r="G59" s="2">
        <f>Saldobalance!D68</f>
        <v>7163.8400000000011</v>
      </c>
      <c r="H59" s="9">
        <f>(G59-E59)/E59*100</f>
        <v>-10.451999999999986</v>
      </c>
      <c r="I59" s="4"/>
      <c r="J59" s="13"/>
      <c r="K59" s="93">
        <f>SUM(J60:K65)</f>
        <v>8000</v>
      </c>
      <c r="L59" s="9">
        <f>(K59-E59)/E59*100</f>
        <v>0</v>
      </c>
      <c r="M59" s="4"/>
      <c r="N59" s="4"/>
    </row>
    <row r="60" spans="1:14" x14ac:dyDescent="0.2">
      <c r="A60" s="10" t="str">
        <f>Saldobalance!B62</f>
        <v>Øvrige Fåreindtægter</v>
      </c>
      <c r="B60" s="10"/>
      <c r="C60" s="78">
        <v>0</v>
      </c>
      <c r="D60" s="10"/>
      <c r="E60" s="80">
        <v>0</v>
      </c>
      <c r="F60" s="10"/>
      <c r="G60" s="80">
        <f>Saldobalance!D62</f>
        <v>0</v>
      </c>
      <c r="H60" s="11"/>
      <c r="I60" s="4"/>
      <c r="J60" s="10"/>
      <c r="K60" s="147">
        <v>0</v>
      </c>
      <c r="L60" s="11"/>
      <c r="M60" s="4"/>
      <c r="N60" s="4"/>
    </row>
    <row r="61" spans="1:14" x14ac:dyDescent="0.2">
      <c r="A61" s="10" t="str">
        <f>Saldobalance!B63</f>
        <v>Salg af fåreprodukter (Brutto)</v>
      </c>
      <c r="B61" s="10"/>
      <c r="C61" s="78">
        <v>-17288.93</v>
      </c>
      <c r="D61" s="10"/>
      <c r="E61" s="80">
        <v>-20000</v>
      </c>
      <c r="F61" s="10"/>
      <c r="G61" s="80">
        <f>Saldobalance!D63</f>
        <v>-14673.39</v>
      </c>
      <c r="H61" s="11"/>
      <c r="I61" s="4"/>
      <c r="J61" s="10"/>
      <c r="K61" s="147">
        <v>-20000</v>
      </c>
      <c r="L61" s="11"/>
      <c r="M61" s="4"/>
      <c r="N61" s="4"/>
    </row>
    <row r="62" spans="1:14" x14ac:dyDescent="0.2">
      <c r="A62" s="10" t="str">
        <f>Saldobalance!B64</f>
        <v>Rabat på fåreprodukter</v>
      </c>
      <c r="B62" s="10">
        <v>1097.05</v>
      </c>
      <c r="C62" s="78"/>
      <c r="D62" s="10">
        <v>2000</v>
      </c>
      <c r="E62" s="80"/>
      <c r="F62" s="10">
        <f>Saldobalance!D64</f>
        <v>1636.64</v>
      </c>
      <c r="G62" s="80"/>
      <c r="H62" s="11"/>
      <c r="I62" s="4"/>
      <c r="J62" s="10">
        <v>2000</v>
      </c>
      <c r="K62" s="147"/>
      <c r="L62" s="11"/>
      <c r="M62" s="4"/>
      <c r="N62" s="4"/>
    </row>
    <row r="63" spans="1:14" x14ac:dyDescent="0.2">
      <c r="A63" s="10" t="str">
        <f>Saldobalance!B65</f>
        <v>Løbende omkostninger/får</v>
      </c>
      <c r="B63" s="10">
        <v>21714.68</v>
      </c>
      <c r="C63" s="11"/>
      <c r="D63" s="10">
        <v>19000</v>
      </c>
      <c r="E63" s="11"/>
      <c r="F63" s="10">
        <f>Saldobalance!D65</f>
        <v>17856.900000000001</v>
      </c>
      <c r="G63" s="11"/>
      <c r="H63" s="11"/>
      <c r="I63" s="4"/>
      <c r="J63" s="94">
        <v>19000</v>
      </c>
      <c r="K63" s="11"/>
      <c r="L63" s="11"/>
      <c r="M63" s="4"/>
      <c r="N63" s="4"/>
    </row>
    <row r="64" spans="1:14" x14ac:dyDescent="0.2">
      <c r="A64" s="10" t="str">
        <f>Saldobalance!B66</f>
        <v>Engangsomkostninger/får</v>
      </c>
      <c r="B64" s="10">
        <v>7167.36</v>
      </c>
      <c r="C64" s="11"/>
      <c r="D64" s="10">
        <v>6000</v>
      </c>
      <c r="E64" s="11"/>
      <c r="F64" s="10">
        <f>Saldobalance!D66</f>
        <v>3331.49</v>
      </c>
      <c r="G64" s="11"/>
      <c r="H64" s="11"/>
      <c r="I64" s="4"/>
      <c r="J64" s="94">
        <v>6000</v>
      </c>
      <c r="K64" s="11"/>
      <c r="L64" s="11"/>
      <c r="M64" s="4"/>
      <c r="N64" s="4"/>
    </row>
    <row r="65" spans="1:14" x14ac:dyDescent="0.2">
      <c r="A65" s="10" t="str">
        <f>Saldobalance!B67</f>
        <v>Årets udvikling/får</v>
      </c>
      <c r="B65" s="10">
        <v>-4069.05</v>
      </c>
      <c r="C65" s="11"/>
      <c r="D65" s="10">
        <v>1000</v>
      </c>
      <c r="E65" s="11"/>
      <c r="F65" s="10">
        <f>Saldobalance!D67</f>
        <v>-987.8</v>
      </c>
      <c r="G65" s="11"/>
      <c r="H65" s="11"/>
      <c r="I65" s="4"/>
      <c r="J65" s="94">
        <v>1000</v>
      </c>
      <c r="K65" s="11"/>
      <c r="L65" s="11"/>
      <c r="M65" s="4"/>
      <c r="N65" s="4"/>
    </row>
    <row r="66" spans="1:14" x14ac:dyDescent="0.2">
      <c r="A66" s="33"/>
      <c r="B66" s="13"/>
      <c r="C66" s="5"/>
      <c r="D66" s="13"/>
      <c r="E66" s="2"/>
      <c r="F66" s="13"/>
      <c r="G66" s="2"/>
      <c r="H66" s="9"/>
      <c r="I66" s="4"/>
      <c r="J66" s="13"/>
      <c r="K66" s="2"/>
      <c r="L66" s="9"/>
      <c r="M66" s="4"/>
      <c r="N66" s="4"/>
    </row>
    <row r="67" spans="1:14" x14ac:dyDescent="0.2">
      <c r="A67" s="33" t="str">
        <f>Saldobalance!B70</f>
        <v>EL-biler</v>
      </c>
      <c r="B67" s="13"/>
      <c r="C67" s="5">
        <v>0</v>
      </c>
      <c r="D67" s="13"/>
      <c r="E67" s="2">
        <v>0</v>
      </c>
      <c r="F67" s="13"/>
      <c r="G67" s="2">
        <f>Saldobalance!D82</f>
        <v>2100</v>
      </c>
      <c r="H67" s="9" t="e">
        <f>(G67-E67)/E67*100</f>
        <v>#DIV/0!</v>
      </c>
      <c r="I67" s="4"/>
      <c r="J67" s="13"/>
      <c r="K67" s="93">
        <f>SUM(J68:K71)</f>
        <v>0</v>
      </c>
      <c r="L67" s="9" t="e">
        <f>(K67-E67)/E67*100</f>
        <v>#DIV/0!</v>
      </c>
      <c r="M67" s="4"/>
      <c r="N67" s="4"/>
    </row>
    <row r="68" spans="1:14" x14ac:dyDescent="0.2">
      <c r="A68" s="10" t="str">
        <f>Saldobalance!B71</f>
        <v>Overskud fra strømforbrug</v>
      </c>
      <c r="B68" s="10"/>
      <c r="C68" s="78">
        <v>0</v>
      </c>
      <c r="D68" s="10"/>
      <c r="E68" s="80">
        <v>-2952</v>
      </c>
      <c r="F68" s="10"/>
      <c r="G68" s="80">
        <f>Saldobalance!D71</f>
        <v>0</v>
      </c>
      <c r="H68" s="11"/>
      <c r="I68" s="4"/>
      <c r="J68" s="10"/>
      <c r="K68" s="147">
        <f>-J70</f>
        <v>-2100</v>
      </c>
      <c r="L68" s="11"/>
      <c r="M68" s="4"/>
      <c r="N68" s="4"/>
    </row>
    <row r="69" spans="1:14" x14ac:dyDescent="0.2">
      <c r="A69" s="10" t="str">
        <f>Saldobalance!B72</f>
        <v>Underskud fra strømforbrug</v>
      </c>
      <c r="B69" s="10">
        <v>0</v>
      </c>
      <c r="C69" s="78"/>
      <c r="D69" s="10">
        <v>0</v>
      </c>
      <c r="E69" s="80"/>
      <c r="F69" s="10">
        <f>Saldobalance!D72</f>
        <v>0</v>
      </c>
      <c r="G69" s="80"/>
      <c r="H69" s="11"/>
      <c r="I69" s="4"/>
      <c r="J69" s="10">
        <v>0</v>
      </c>
      <c r="K69" s="147"/>
      <c r="L69" s="11"/>
      <c r="M69" s="4"/>
      <c r="N69" s="4"/>
    </row>
    <row r="70" spans="1:14" x14ac:dyDescent="0.2">
      <c r="A70" s="10" t="str">
        <f>Saldobalance!B73</f>
        <v>Leje af ladere</v>
      </c>
      <c r="B70" s="10">
        <v>0</v>
      </c>
      <c r="C70" s="78"/>
      <c r="D70" s="10">
        <v>2952</v>
      </c>
      <c r="E70" s="80"/>
      <c r="F70" s="10">
        <f>Saldobalance!D73</f>
        <v>2100</v>
      </c>
      <c r="G70" s="80"/>
      <c r="H70" s="11"/>
      <c r="I70" s="4"/>
      <c r="J70" s="10">
        <v>2100</v>
      </c>
      <c r="K70" s="147"/>
      <c r="L70" s="11"/>
      <c r="M70" s="4"/>
      <c r="N70" s="4"/>
    </row>
    <row r="71" spans="1:14" x14ac:dyDescent="0.2">
      <c r="A71" s="10" t="str">
        <f>Saldobalance!B74</f>
        <v>Elbilsforeningen mellemregninger</v>
      </c>
      <c r="B71" s="10">
        <v>0</v>
      </c>
      <c r="C71" s="78"/>
      <c r="D71" s="10">
        <v>0</v>
      </c>
      <c r="E71" s="80"/>
      <c r="F71" s="10">
        <f>Saldobalance!D74</f>
        <v>0</v>
      </c>
      <c r="G71" s="80"/>
      <c r="H71" s="11"/>
      <c r="I71" s="4"/>
      <c r="J71" s="10">
        <v>0</v>
      </c>
      <c r="K71" s="147"/>
      <c r="L71" s="11"/>
      <c r="M71" s="4"/>
      <c r="N71" s="4"/>
    </row>
    <row r="72" spans="1:14" x14ac:dyDescent="0.2">
      <c r="A72" s="33"/>
      <c r="B72" s="13"/>
      <c r="C72" s="34"/>
      <c r="D72" s="13"/>
      <c r="E72" s="34"/>
      <c r="F72" s="13"/>
      <c r="G72" s="34"/>
      <c r="H72" s="34"/>
      <c r="I72" s="4"/>
      <c r="J72" s="13"/>
      <c r="K72" s="6"/>
      <c r="L72" s="34"/>
      <c r="M72" s="4"/>
      <c r="N72" s="4"/>
    </row>
    <row r="73" spans="1:14" x14ac:dyDescent="0.2">
      <c r="A73" s="33" t="str">
        <f>Saldobalance!B85</f>
        <v>Diverse variable omkostninger</v>
      </c>
      <c r="B73" s="13"/>
      <c r="C73" s="5">
        <v>0</v>
      </c>
      <c r="D73" s="13"/>
      <c r="E73" s="2">
        <v>0</v>
      </c>
      <c r="F73" s="13"/>
      <c r="G73" s="2">
        <f>Saldobalance!D85</f>
        <v>0</v>
      </c>
      <c r="H73" s="9"/>
      <c r="I73" s="4"/>
      <c r="J73" s="13"/>
      <c r="K73" s="95">
        <v>0</v>
      </c>
      <c r="L73" s="9"/>
      <c r="M73" s="4"/>
      <c r="N73" s="4"/>
    </row>
    <row r="74" spans="1:14" x14ac:dyDescent="0.2">
      <c r="A74" s="33"/>
      <c r="B74" s="13"/>
      <c r="C74" s="2"/>
      <c r="D74" s="13"/>
      <c r="E74" s="2"/>
      <c r="F74" s="13"/>
      <c r="G74" s="2"/>
      <c r="H74" s="2"/>
      <c r="I74" s="4"/>
      <c r="J74" s="13"/>
      <c r="K74" s="2"/>
      <c r="L74" s="2"/>
      <c r="M74" s="4"/>
      <c r="N74" s="4"/>
    </row>
    <row r="75" spans="1:14" ht="13.5" thickBot="1" x14ac:dyDescent="0.25">
      <c r="A75" s="21" t="s">
        <v>296</v>
      </c>
      <c r="B75" s="39"/>
      <c r="C75" s="22">
        <v>247865.52000000002</v>
      </c>
      <c r="D75" s="39"/>
      <c r="E75" s="22">
        <v>326050</v>
      </c>
      <c r="F75" s="39"/>
      <c r="G75" s="22">
        <f>Saldobalance!D86</f>
        <v>329020.25</v>
      </c>
      <c r="H75" s="77">
        <f>(G75-E75)/E75*100</f>
        <v>0.91097991105658638</v>
      </c>
      <c r="I75" s="4"/>
      <c r="J75" s="39"/>
      <c r="K75" s="22">
        <f>SUM(K17:K57)+K59+K67</f>
        <v>306150</v>
      </c>
      <c r="L75" s="77">
        <f>(K75-E75)/E75*100</f>
        <v>-6.10335838061647</v>
      </c>
      <c r="M75" s="4"/>
      <c r="N75" s="4"/>
    </row>
    <row r="76" spans="1:14" ht="13.5" thickBot="1" x14ac:dyDescent="0.25">
      <c r="I76" s="4"/>
      <c r="M76" s="4"/>
      <c r="N76" s="4"/>
    </row>
    <row r="77" spans="1:14" x14ac:dyDescent="0.2">
      <c r="A77" s="23" t="s">
        <v>143</v>
      </c>
      <c r="B77" s="37"/>
      <c r="C77" s="24"/>
      <c r="D77" s="24"/>
      <c r="E77" s="24"/>
      <c r="F77" s="24"/>
      <c r="G77" s="24"/>
      <c r="H77" s="38"/>
      <c r="I77" s="4"/>
      <c r="J77" s="37"/>
      <c r="K77" s="24"/>
      <c r="L77" s="38"/>
      <c r="M77" s="4"/>
      <c r="N77" s="4"/>
    </row>
    <row r="78" spans="1:14" x14ac:dyDescent="0.2">
      <c r="A78" s="18"/>
      <c r="B78" s="45" t="str">
        <f>$B$5</f>
        <v xml:space="preserve">Regnskab </v>
      </c>
      <c r="C78" s="44">
        <f>$C$5</f>
        <v>2022</v>
      </c>
      <c r="D78" s="43" t="str">
        <f>$D$5</f>
        <v xml:space="preserve">Budget </v>
      </c>
      <c r="E78" s="44">
        <f>$E$5</f>
        <v>2023</v>
      </c>
      <c r="F78" s="43" t="str">
        <f>$F$5</f>
        <v xml:space="preserve">Regnskab </v>
      </c>
      <c r="G78" s="44">
        <f>$G$5</f>
        <v>2023</v>
      </c>
      <c r="H78" s="44" t="str">
        <f>$H$5</f>
        <v xml:space="preserve">Difference </v>
      </c>
      <c r="I78" s="4"/>
      <c r="J78" s="45" t="str">
        <f>$J$5</f>
        <v xml:space="preserve">Budget </v>
      </c>
      <c r="K78" s="44">
        <f>$K$5</f>
        <v>2024</v>
      </c>
      <c r="L78" s="44" t="str">
        <f>$L$5</f>
        <v>Stigning</v>
      </c>
      <c r="M78" s="4"/>
      <c r="N78" s="4"/>
    </row>
    <row r="79" spans="1:14" x14ac:dyDescent="0.2">
      <c r="A79" s="27" t="s">
        <v>3</v>
      </c>
      <c r="B79" s="30"/>
      <c r="C79" s="31"/>
      <c r="D79" s="30"/>
      <c r="E79" s="31"/>
      <c r="F79" s="30"/>
      <c r="G79" s="31"/>
      <c r="H79" s="31" t="s">
        <v>4</v>
      </c>
      <c r="I79" s="4"/>
      <c r="J79" s="30"/>
      <c r="K79" s="31"/>
      <c r="L79" s="31" t="s">
        <v>4</v>
      </c>
      <c r="M79" s="4"/>
      <c r="N79" s="4"/>
    </row>
    <row r="80" spans="1:14" x14ac:dyDescent="0.2">
      <c r="B80" s="13"/>
      <c r="C80" s="34"/>
      <c r="D80" s="13"/>
      <c r="E80" s="34"/>
      <c r="F80" s="13"/>
      <c r="G80" s="34"/>
      <c r="H80" s="34"/>
      <c r="I80" s="4"/>
      <c r="J80" s="13"/>
      <c r="K80" s="34"/>
      <c r="L80" s="34"/>
      <c r="M80" s="4"/>
      <c r="N80" s="4"/>
    </row>
    <row r="81" spans="1:16" x14ac:dyDescent="0.2">
      <c r="A81" s="33" t="str">
        <f>Saldobalance!B90</f>
        <v>Ejendomsskat</v>
      </c>
      <c r="B81" s="13"/>
      <c r="C81" s="20">
        <v>42108.91</v>
      </c>
      <c r="D81" s="13"/>
      <c r="E81" s="34">
        <v>42112</v>
      </c>
      <c r="F81" s="13"/>
      <c r="G81" s="34">
        <f>Saldobalance!D90</f>
        <v>43519.01</v>
      </c>
      <c r="H81" s="9">
        <f>(G81-E81)/E81*100</f>
        <v>3.3411141717325274</v>
      </c>
      <c r="I81" s="4"/>
      <c r="J81" s="13"/>
      <c r="K81" s="6">
        <f>1315.71+2*869.76+2*20272.16</f>
        <v>43599.55</v>
      </c>
      <c r="L81" s="9">
        <f>(K81-E81)/E81*100</f>
        <v>3.5323660714285783</v>
      </c>
      <c r="M81" s="4"/>
      <c r="N81" s="4"/>
    </row>
    <row r="82" spans="1:16" x14ac:dyDescent="0.2">
      <c r="A82" s="33"/>
      <c r="B82" s="13"/>
      <c r="D82" s="13"/>
      <c r="E82" s="34"/>
      <c r="F82" s="13"/>
      <c r="G82" s="34"/>
      <c r="H82" s="34"/>
      <c r="I82" s="4"/>
      <c r="J82" s="13"/>
      <c r="K82" s="34"/>
      <c r="L82" s="34"/>
      <c r="M82" s="4"/>
      <c r="N82" s="4"/>
    </row>
    <row r="83" spans="1:16" x14ac:dyDescent="0.2">
      <c r="A83" s="33" t="str">
        <f>Saldobalance!B91</f>
        <v>Forsikringer - TopDK 9554 652 384</v>
      </c>
      <c r="B83" s="13"/>
      <c r="C83" s="20">
        <v>44914.27</v>
      </c>
      <c r="D83" s="13"/>
      <c r="E83" s="34">
        <v>45913</v>
      </c>
      <c r="F83" s="13"/>
      <c r="G83" s="34">
        <f>Saldobalance!D91</f>
        <v>49757.97</v>
      </c>
      <c r="H83" s="9">
        <f>(G83-E83)/E83*100</f>
        <v>8.3744691046108972</v>
      </c>
      <c r="I83" s="4"/>
      <c r="J83" s="13"/>
      <c r="K83" s="6">
        <f>45160.12+4800</f>
        <v>49960.12</v>
      </c>
      <c r="L83" s="9">
        <f>(K83-E83)/E83*100</f>
        <v>8.8147583473090467</v>
      </c>
      <c r="M83" s="4"/>
      <c r="N83" s="4"/>
      <c r="O83" s="3"/>
    </row>
    <row r="84" spans="1:16" x14ac:dyDescent="0.2">
      <c r="A84" s="33"/>
      <c r="B84" s="13"/>
      <c r="C84" s="6"/>
      <c r="D84" s="13"/>
      <c r="E84" s="6"/>
      <c r="F84" s="13"/>
      <c r="G84" s="6"/>
      <c r="H84" s="6"/>
      <c r="I84" s="4"/>
      <c r="J84" s="13"/>
      <c r="K84" s="6"/>
      <c r="L84" s="6"/>
      <c r="M84" s="4"/>
      <c r="N84" s="4"/>
    </row>
    <row r="85" spans="1:16" x14ac:dyDescent="0.2">
      <c r="A85" s="33" t="str">
        <f>Saldobalance!B93</f>
        <v>Afdrag til Bakkens Bank</v>
      </c>
      <c r="B85" s="13"/>
      <c r="C85" s="2">
        <v>106465.77</v>
      </c>
      <c r="D85" s="13"/>
      <c r="E85" s="2">
        <v>105466.06024242425</v>
      </c>
      <c r="F85" s="13"/>
      <c r="G85" s="2">
        <f>Saldobalance!D101</f>
        <v>106302.3</v>
      </c>
      <c r="H85" s="9">
        <f>(G85-E85)/E85*100</f>
        <v>0.7928993987767905</v>
      </c>
      <c r="I85" s="4"/>
      <c r="J85" s="13"/>
      <c r="K85" s="2">
        <f>SUM(J86:J90)</f>
        <v>95093.244333333321</v>
      </c>
      <c r="L85" s="9">
        <f>(K85-E85)/E85*100</f>
        <v>-9.835217021711042</v>
      </c>
      <c r="M85" s="4"/>
      <c r="N85" s="4"/>
      <c r="O85" s="123" t="s">
        <v>186</v>
      </c>
      <c r="P85" s="124" t="s">
        <v>247</v>
      </c>
    </row>
    <row r="86" spans="1:16" x14ac:dyDescent="0.2">
      <c r="A86" s="10" t="str">
        <f>Saldobalance!B98</f>
        <v>Vaskemaskiner, 2011</v>
      </c>
      <c r="B86" s="10">
        <v>7856.82</v>
      </c>
      <c r="C86" s="78"/>
      <c r="D86" s="10">
        <v>7855</v>
      </c>
      <c r="E86" s="78"/>
      <c r="F86" s="10">
        <f>Saldobalance!D98</f>
        <v>8691.57</v>
      </c>
      <c r="G86" s="78"/>
      <c r="H86" s="78"/>
      <c r="I86" s="4"/>
      <c r="J86" s="10">
        <v>0</v>
      </c>
      <c r="K86" s="11"/>
      <c r="L86" s="78"/>
      <c r="M86" s="4"/>
      <c r="N86" s="4"/>
      <c r="O86" s="117">
        <v>2023</v>
      </c>
      <c r="P86" s="20">
        <f>Saldobalance!E222</f>
        <v>0</v>
      </c>
    </row>
    <row r="87" spans="1:16" x14ac:dyDescent="0.2">
      <c r="A87" s="10" t="str">
        <f>Saldobalance!B97</f>
        <v>Tørretumbler - 2021</v>
      </c>
      <c r="B87" s="10">
        <v>6724.98</v>
      </c>
      <c r="C87" s="78"/>
      <c r="D87" s="10">
        <v>6724.9693333333335</v>
      </c>
      <c r="E87" s="78"/>
      <c r="F87" s="10">
        <f>Saldobalance!D97</f>
        <v>6724.98</v>
      </c>
      <c r="G87" s="78"/>
      <c r="H87" s="78"/>
      <c r="I87" s="4"/>
      <c r="J87" s="10">
        <v>6724.9693333333335</v>
      </c>
      <c r="K87" s="11"/>
      <c r="L87" s="78"/>
      <c r="M87" s="4"/>
      <c r="N87" s="4"/>
      <c r="O87" s="117">
        <v>2036</v>
      </c>
      <c r="P87" s="20">
        <f>Saldobalance!E221</f>
        <v>86303.75</v>
      </c>
    </row>
    <row r="88" spans="1:16" x14ac:dyDescent="0.2">
      <c r="A88" s="10" t="str">
        <f>Saldobalance!B99</f>
        <v>Kompressorer, 2018</v>
      </c>
      <c r="B88" s="10">
        <v>66666.66</v>
      </c>
      <c r="C88" s="78"/>
      <c r="D88" s="10">
        <v>66667</v>
      </c>
      <c r="E88" s="78"/>
      <c r="F88" s="10">
        <f>Saldobalance!D99</f>
        <v>66666.66</v>
      </c>
      <c r="G88" s="78"/>
      <c r="H88" s="78"/>
      <c r="I88" s="4"/>
      <c r="J88" s="10">
        <v>66667</v>
      </c>
      <c r="K88" s="11"/>
      <c r="L88" s="78"/>
      <c r="M88" s="4"/>
      <c r="N88" s="4"/>
      <c r="O88" s="117">
        <v>2033</v>
      </c>
      <c r="P88" s="20">
        <f>Saldobalance!E223</f>
        <v>599999.87</v>
      </c>
    </row>
    <row r="89" spans="1:16" x14ac:dyDescent="0.2">
      <c r="A89" s="10" t="str">
        <f>Saldobalance!B95</f>
        <v>Ovn, 2020</v>
      </c>
      <c r="B89" s="10">
        <v>9996</v>
      </c>
      <c r="C89" s="78"/>
      <c r="D89" s="10">
        <v>9996</v>
      </c>
      <c r="E89" s="78"/>
      <c r="F89" s="10">
        <f>Saldobalance!D95</f>
        <v>9996</v>
      </c>
      <c r="G89" s="78"/>
      <c r="H89" s="78"/>
      <c r="I89" s="4"/>
      <c r="J89" s="10">
        <v>9996</v>
      </c>
      <c r="K89" s="11"/>
      <c r="L89" s="78"/>
      <c r="M89" s="4"/>
      <c r="N89" s="4"/>
      <c r="O89" s="138">
        <v>2035</v>
      </c>
      <c r="P89" s="3">
        <f>Saldobalance!E224</f>
        <v>109993.42</v>
      </c>
    </row>
    <row r="90" spans="1:16" ht="12.95" customHeight="1" x14ac:dyDescent="0.2">
      <c r="A90" s="10" t="str">
        <f>Saldobalance!B96</f>
        <v>Jordvarme - kassekredit, 2018</v>
      </c>
      <c r="B90" s="10">
        <v>15221.31</v>
      </c>
      <c r="C90" s="78"/>
      <c r="D90" s="10">
        <v>14223.090909090914</v>
      </c>
      <c r="E90" s="78"/>
      <c r="F90" s="10">
        <f>Saldobalance!D96</f>
        <v>14223.09</v>
      </c>
      <c r="G90" s="78"/>
      <c r="H90" s="78"/>
      <c r="I90" s="4"/>
      <c r="J90" s="10">
        <f>P90/(O90-$B$2)</f>
        <v>11705.274999999998</v>
      </c>
      <c r="K90" s="11"/>
      <c r="L90" s="78"/>
      <c r="M90" s="4"/>
      <c r="N90" s="4"/>
      <c r="O90" s="137">
        <v>2033</v>
      </c>
      <c r="P90" s="3">
        <f>Saldobalance!E226-G126</f>
        <v>117052.74999999997</v>
      </c>
    </row>
    <row r="91" spans="1:16" x14ac:dyDescent="0.2">
      <c r="A91" s="33"/>
      <c r="B91" s="13"/>
      <c r="C91" s="6"/>
      <c r="D91" s="13"/>
      <c r="E91" s="6"/>
      <c r="F91" s="13"/>
      <c r="G91" s="6"/>
      <c r="H91" s="6"/>
      <c r="I91" s="4"/>
      <c r="J91" s="13"/>
      <c r="K91" s="6"/>
      <c r="L91" s="6"/>
      <c r="M91" s="4"/>
      <c r="N91" s="4"/>
    </row>
    <row r="92" spans="1:16" x14ac:dyDescent="0.2">
      <c r="A92" s="33" t="str">
        <f>Saldobalance!B103</f>
        <v>Opsparing i Bakkens Bank</v>
      </c>
      <c r="B92" s="13"/>
      <c r="C92" s="2">
        <v>90000</v>
      </c>
      <c r="D92" s="13"/>
      <c r="E92" s="2">
        <v>90000</v>
      </c>
      <c r="F92" s="13"/>
      <c r="G92" s="2">
        <f>Saldobalance!D106</f>
        <v>90000</v>
      </c>
      <c r="H92" s="9">
        <f>(G92-E92)/E92*100</f>
        <v>0</v>
      </c>
      <c r="I92" s="4"/>
      <c r="J92" s="13"/>
      <c r="K92" s="2">
        <f>SUM(J93:J93)</f>
        <v>90000</v>
      </c>
      <c r="L92" s="9">
        <f>(K92-E92)/E92*100</f>
        <v>0</v>
      </c>
      <c r="M92" s="4"/>
      <c r="N92" s="4"/>
      <c r="O92" s="123"/>
      <c r="P92" s="124"/>
    </row>
    <row r="93" spans="1:16" x14ac:dyDescent="0.2">
      <c r="A93" s="10" t="str">
        <f>Saldobalance!B104</f>
        <v>Opsparing til 5-årsplanen</v>
      </c>
      <c r="B93" s="10">
        <v>90000</v>
      </c>
      <c r="C93" s="78"/>
      <c r="D93" s="10">
        <v>90000</v>
      </c>
      <c r="E93" s="78"/>
      <c r="F93" s="10">
        <f>Saldobalance!D104</f>
        <v>90000</v>
      </c>
      <c r="G93" s="78"/>
      <c r="H93" s="78"/>
      <c r="I93" s="4"/>
      <c r="J93" s="10">
        <v>90000</v>
      </c>
      <c r="K93" s="11"/>
      <c r="L93" s="78"/>
      <c r="M93" s="4"/>
      <c r="N93" s="4"/>
      <c r="O93" s="117">
        <v>2027</v>
      </c>
      <c r="P93" s="3"/>
    </row>
    <row r="94" spans="1:16" x14ac:dyDescent="0.2">
      <c r="A94" s="10" t="str">
        <f>Saldobalance!B105</f>
        <v>Opsparing i øvrigt</v>
      </c>
      <c r="B94" s="10">
        <v>0</v>
      </c>
      <c r="C94" s="78"/>
      <c r="D94" s="10">
        <v>0</v>
      </c>
      <c r="E94" s="78"/>
      <c r="F94" s="10">
        <f>Saldobalance!D105</f>
        <v>0</v>
      </c>
      <c r="G94" s="78"/>
      <c r="H94" s="78"/>
      <c r="I94" s="4"/>
      <c r="J94" s="10">
        <v>0</v>
      </c>
      <c r="K94" s="11"/>
      <c r="L94" s="78"/>
      <c r="M94" s="4"/>
      <c r="N94" s="4"/>
      <c r="O94" s="117"/>
    </row>
    <row r="95" spans="1:16" x14ac:dyDescent="0.2">
      <c r="A95" s="33"/>
      <c r="B95" s="81"/>
      <c r="C95" s="82"/>
      <c r="D95" s="81"/>
      <c r="E95" s="82"/>
      <c r="F95" s="81"/>
      <c r="G95" s="82"/>
      <c r="H95" s="82"/>
      <c r="I95" s="4"/>
      <c r="J95" s="81"/>
      <c r="K95" s="34"/>
      <c r="L95" s="82"/>
      <c r="M95" s="4"/>
      <c r="N95" s="4"/>
      <c r="O95" s="118"/>
    </row>
    <row r="96" spans="1:16" x14ac:dyDescent="0.2">
      <c r="A96" s="33" t="str">
        <f>Saldobalance!B108</f>
        <v>Renter og gebyrer</v>
      </c>
      <c r="B96" s="13"/>
      <c r="C96" s="6">
        <v>540.61000000000058</v>
      </c>
      <c r="D96" s="13"/>
      <c r="E96" s="6">
        <v>0</v>
      </c>
      <c r="F96" s="13"/>
      <c r="G96" s="2">
        <f>Saldobalance!D114</f>
        <v>934.18999999999505</v>
      </c>
      <c r="H96" s="9"/>
      <c r="I96" s="4"/>
      <c r="J96" s="13"/>
      <c r="K96" s="6">
        <f>SUM(J97:J98)</f>
        <v>0</v>
      </c>
      <c r="L96" s="9" t="str">
        <f>IF(E96=0,"--",(K96-E96)/E96*100)</f>
        <v>--</v>
      </c>
      <c r="M96" s="4"/>
      <c r="N96" s="4"/>
    </row>
    <row r="97" spans="1:16" x14ac:dyDescent="0.2">
      <c r="A97" s="10" t="str">
        <f>Saldobalance!B109</f>
        <v>Nordea renteudgift</v>
      </c>
      <c r="B97" s="10">
        <v>540.61000000000058</v>
      </c>
      <c r="C97" s="11"/>
      <c r="D97" s="10">
        <v>0</v>
      </c>
      <c r="E97" s="11"/>
      <c r="F97" s="10">
        <f>Saldobalance!D109+Saldobalance!D110</f>
        <v>-315.81000000000495</v>
      </c>
      <c r="G97" s="11"/>
      <c r="H97" s="11"/>
      <c r="I97" s="4"/>
      <c r="J97" s="10">
        <v>0</v>
      </c>
      <c r="K97" s="11"/>
      <c r="L97" s="11"/>
      <c r="M97" s="4"/>
      <c r="N97" s="4"/>
    </row>
    <row r="98" spans="1:16" x14ac:dyDescent="0.2">
      <c r="A98" s="10" t="str">
        <f>Saldobalance!B113</f>
        <v>Andre renter og gebyrer</v>
      </c>
      <c r="B98" s="10">
        <v>0</v>
      </c>
      <c r="C98" s="11"/>
      <c r="D98" s="10">
        <v>0</v>
      </c>
      <c r="E98" s="11"/>
      <c r="F98" s="10">
        <f>Saldobalance!D113</f>
        <v>1250</v>
      </c>
      <c r="G98" s="11"/>
      <c r="H98" s="11"/>
      <c r="I98" s="89"/>
      <c r="J98" s="10">
        <v>0</v>
      </c>
      <c r="K98" s="11"/>
      <c r="L98" s="11"/>
      <c r="M98" s="4"/>
      <c r="N98" s="4"/>
    </row>
    <row r="99" spans="1:16" x14ac:dyDescent="0.2">
      <c r="A99" s="33"/>
      <c r="B99" s="13"/>
      <c r="C99" s="34"/>
      <c r="D99" s="13"/>
      <c r="E99" s="34"/>
      <c r="F99" s="13"/>
      <c r="G99" s="34"/>
      <c r="H99" s="34"/>
      <c r="I99" s="4"/>
      <c r="J99" s="13"/>
      <c r="K99" s="34"/>
      <c r="L99" s="34"/>
      <c r="M99" s="4"/>
      <c r="N99" s="4"/>
    </row>
    <row r="100" spans="1:16" x14ac:dyDescent="0.2">
      <c r="A100" s="33" t="str">
        <f>Saldobalance!B116</f>
        <v>Ressourceforbrug i Fælleshuset</v>
      </c>
      <c r="B100" s="13"/>
      <c r="C100" s="2">
        <v>133451.73000000001</v>
      </c>
      <c r="D100" s="13"/>
      <c r="E100" s="2">
        <v>94675.458888888883</v>
      </c>
      <c r="F100" s="13"/>
      <c r="G100" s="2">
        <f>Saldobalance!D123</f>
        <v>61108.68</v>
      </c>
      <c r="H100" s="9">
        <f>(G100-E100)/E100*100</f>
        <v>-35.454572159278207</v>
      </c>
      <c r="I100" s="4"/>
      <c r="J100" s="13"/>
      <c r="K100" s="2">
        <f>SUM(J101:J106)</f>
        <v>72668.588606072546</v>
      </c>
      <c r="L100" s="9">
        <f>(K100-E100)/E100*100</f>
        <v>-23.244535110881902</v>
      </c>
      <c r="M100" s="4"/>
      <c r="N100" s="4"/>
      <c r="P100" s="86"/>
    </row>
    <row r="101" spans="1:16" x14ac:dyDescent="0.2">
      <c r="A101" s="10" t="str">
        <f>Saldobalance!B117</f>
        <v>Renovation</v>
      </c>
      <c r="B101" s="10">
        <v>10861</v>
      </c>
      <c r="C101" s="78"/>
      <c r="D101" s="10">
        <v>-2066.4299999999998</v>
      </c>
      <c r="E101" s="78"/>
      <c r="F101" s="10">
        <f>Saldobalance!D117</f>
        <v>-2066</v>
      </c>
      <c r="G101" s="78"/>
      <c r="H101" s="78"/>
      <c r="I101" s="4"/>
      <c r="J101" s="270">
        <v>0</v>
      </c>
      <c r="K101" s="268"/>
      <c r="L101" s="268"/>
      <c r="M101" s="269" t="s">
        <v>314</v>
      </c>
      <c r="N101" s="269"/>
      <c r="O101" s="3"/>
    </row>
    <row r="102" spans="1:16" x14ac:dyDescent="0.2">
      <c r="A102" s="10" t="str">
        <f>Saldobalance!B118</f>
        <v>EL</v>
      </c>
      <c r="B102" s="10">
        <v>77275.350000000006</v>
      </c>
      <c r="C102" s="78"/>
      <c r="D102" s="271">
        <v>51000</v>
      </c>
      <c r="E102" s="272"/>
      <c r="F102" s="271">
        <f>Saldobalance!D118</f>
        <v>39222.61</v>
      </c>
      <c r="G102" s="272"/>
      <c r="H102" s="272"/>
      <c r="I102" s="273">
        <v>10</v>
      </c>
      <c r="J102" s="270">
        <f>36000</f>
        <v>36000</v>
      </c>
      <c r="K102" s="268"/>
      <c r="L102" s="268"/>
      <c r="M102" s="269" t="s">
        <v>315</v>
      </c>
      <c r="N102" s="269"/>
      <c r="P102" s="58"/>
    </row>
    <row r="103" spans="1:16" x14ac:dyDescent="0.2">
      <c r="A103" s="10" t="str">
        <f>Saldobalance!B119</f>
        <v>Varme</v>
      </c>
      <c r="B103" s="10">
        <v>28729</v>
      </c>
      <c r="C103" s="78"/>
      <c r="D103" s="271">
        <v>23888.888888888887</v>
      </c>
      <c r="E103" s="272"/>
      <c r="F103" s="271">
        <f>Saldobalance!D119</f>
        <v>2751</v>
      </c>
      <c r="G103" s="272"/>
      <c r="H103" s="272"/>
      <c r="I103" s="273">
        <v>11</v>
      </c>
      <c r="J103" s="270">
        <v>15626</v>
      </c>
      <c r="K103" s="268"/>
      <c r="L103" s="268"/>
      <c r="M103" s="269" t="s">
        <v>316</v>
      </c>
      <c r="N103" s="269"/>
    </row>
    <row r="104" spans="1:16" x14ac:dyDescent="0.2">
      <c r="A104" s="10" t="str">
        <f>Saldobalance!B120</f>
        <v>Vand</v>
      </c>
      <c r="B104" s="10">
        <v>11908</v>
      </c>
      <c r="C104" s="78"/>
      <c r="D104" s="10">
        <v>16976</v>
      </c>
      <c r="E104" s="78"/>
      <c r="F104" s="10">
        <f>Saldobalance!D120</f>
        <v>16573</v>
      </c>
      <c r="G104" s="78"/>
      <c r="H104" s="78"/>
      <c r="I104" s="4"/>
      <c r="J104" s="262">
        <v>14342.588606072542</v>
      </c>
      <c r="K104" s="11"/>
      <c r="L104" s="78"/>
      <c r="M104" s="4"/>
      <c r="N104" s="4"/>
      <c r="O104" s="3"/>
    </row>
    <row r="105" spans="1:16" x14ac:dyDescent="0.2">
      <c r="A105" s="10" t="str">
        <f>Saldobalance!B121</f>
        <v>Vask</v>
      </c>
      <c r="B105" s="10">
        <v>2726.68</v>
      </c>
      <c r="C105" s="78"/>
      <c r="D105" s="10">
        <v>2000</v>
      </c>
      <c r="E105" s="78"/>
      <c r="F105" s="10">
        <f>Saldobalance!D121</f>
        <v>2452.71</v>
      </c>
      <c r="G105" s="78"/>
      <c r="H105" s="78"/>
      <c r="I105" s="4"/>
      <c r="J105" s="270">
        <v>2500</v>
      </c>
      <c r="K105" s="268"/>
      <c r="L105" s="268"/>
      <c r="M105" s="269" t="s">
        <v>317</v>
      </c>
      <c r="N105" s="269"/>
      <c r="O105" s="3"/>
    </row>
    <row r="106" spans="1:16" x14ac:dyDescent="0.2">
      <c r="A106" s="10" t="str">
        <f>Saldobalance!B122</f>
        <v>Gas køkken</v>
      </c>
      <c r="B106" s="10">
        <v>1951.7</v>
      </c>
      <c r="C106" s="78"/>
      <c r="D106" s="10">
        <v>2877</v>
      </c>
      <c r="E106" s="78"/>
      <c r="F106" s="10">
        <f>Saldobalance!D122</f>
        <v>2175.36</v>
      </c>
      <c r="G106" s="78"/>
      <c r="H106" s="78"/>
      <c r="I106" s="4"/>
      <c r="J106" s="270">
        <v>4200</v>
      </c>
      <c r="K106" s="268"/>
      <c r="L106" s="268"/>
      <c r="M106" s="269" t="s">
        <v>318</v>
      </c>
      <c r="N106" s="269"/>
      <c r="O106" s="3"/>
    </row>
    <row r="107" spans="1:16" x14ac:dyDescent="0.2">
      <c r="A107" s="32"/>
      <c r="B107" s="32"/>
      <c r="C107" s="34"/>
      <c r="D107" s="32"/>
      <c r="E107" s="34"/>
      <c r="F107" s="32"/>
      <c r="G107" s="34"/>
      <c r="H107" s="34"/>
      <c r="I107" s="4"/>
      <c r="J107" s="32"/>
      <c r="K107" s="34"/>
      <c r="L107" s="34"/>
      <c r="M107" s="4"/>
      <c r="N107" s="4"/>
    </row>
    <row r="108" spans="1:16" x14ac:dyDescent="0.2">
      <c r="A108" s="33" t="str">
        <f>Saldobalance!B125</f>
        <v>Bestyrelsen</v>
      </c>
      <c r="B108" s="13"/>
      <c r="C108" s="34">
        <v>8226.4500000000007</v>
      </c>
      <c r="D108" s="13"/>
      <c r="E108" s="34">
        <v>10500</v>
      </c>
      <c r="F108" s="13"/>
      <c r="G108" s="34">
        <f>Saldobalance!D129</f>
        <v>10210.450000000001</v>
      </c>
      <c r="H108" s="9">
        <f>(G108-E108)/E108*100</f>
        <v>-2.7576190476190408</v>
      </c>
      <c r="I108" s="4"/>
      <c r="J108" s="13"/>
      <c r="K108" s="34">
        <f>SUM(J109:J111)</f>
        <v>14716</v>
      </c>
      <c r="L108" s="9">
        <f>(K108-E108)/E108*100</f>
        <v>40.152380952380952</v>
      </c>
      <c r="M108" s="4"/>
      <c r="N108" s="4"/>
    </row>
    <row r="109" spans="1:16" x14ac:dyDescent="0.2">
      <c r="A109" s="10" t="str">
        <f>Saldobalance!B126</f>
        <v>Drift af bestyrelsen</v>
      </c>
      <c r="B109" s="10">
        <v>543.95000000000005</v>
      </c>
      <c r="C109" s="11"/>
      <c r="D109" s="10">
        <v>2500</v>
      </c>
      <c r="E109" s="11"/>
      <c r="F109" s="10">
        <f>Saldobalance!D126</f>
        <v>1536.15</v>
      </c>
      <c r="G109" s="11"/>
      <c r="H109" s="11"/>
      <c r="I109" s="4"/>
      <c r="J109" s="10">
        <v>2500</v>
      </c>
      <c r="K109" s="11"/>
      <c r="L109" s="11"/>
      <c r="M109" s="4"/>
      <c r="N109" s="4"/>
      <c r="O109" s="3"/>
    </row>
    <row r="110" spans="1:16" x14ac:dyDescent="0.2">
      <c r="A110" s="10" t="str">
        <f>Saldobalance!B127</f>
        <v>Kontorartikler og Porto</v>
      </c>
      <c r="B110" s="10">
        <v>130</v>
      </c>
      <c r="C110" s="11"/>
      <c r="D110" s="10">
        <v>1000</v>
      </c>
      <c r="E110" s="11"/>
      <c r="F110" s="10">
        <f>Saldobalance!D127</f>
        <v>1373.05</v>
      </c>
      <c r="G110" s="11"/>
      <c r="H110" s="11"/>
      <c r="I110" s="4"/>
      <c r="J110" s="10">
        <v>1000</v>
      </c>
      <c r="K110" s="11"/>
      <c r="L110" s="11"/>
      <c r="M110" s="4"/>
      <c r="N110" s="4"/>
    </row>
    <row r="111" spans="1:16" x14ac:dyDescent="0.2">
      <c r="A111" s="10" t="str">
        <f>Saldobalance!B128</f>
        <v>Økonomisystem</v>
      </c>
      <c r="B111" s="10">
        <v>7552.5</v>
      </c>
      <c r="C111" s="11"/>
      <c r="D111" s="10">
        <v>7000</v>
      </c>
      <c r="E111" s="11"/>
      <c r="F111" s="10">
        <f>Saldobalance!D128</f>
        <v>7301.25</v>
      </c>
      <c r="G111" s="11"/>
      <c r="H111" s="11"/>
      <c r="I111" s="4"/>
      <c r="J111" s="270">
        <f>649*12+2000+12*119</f>
        <v>11216</v>
      </c>
      <c r="K111" s="268"/>
      <c r="L111" s="268"/>
      <c r="M111" s="269" t="s">
        <v>414</v>
      </c>
      <c r="N111" s="269"/>
    </row>
    <row r="112" spans="1:16" x14ac:dyDescent="0.2">
      <c r="A112" s="33"/>
      <c r="B112" s="13"/>
      <c r="C112" s="6"/>
      <c r="D112" s="13"/>
      <c r="E112" s="6"/>
      <c r="F112" s="13"/>
      <c r="G112" s="6"/>
      <c r="H112" s="6"/>
      <c r="I112" s="4"/>
      <c r="J112" s="13"/>
      <c r="K112" s="6"/>
      <c r="L112" s="6"/>
      <c r="M112" s="4"/>
      <c r="N112" s="4"/>
    </row>
    <row r="113" spans="1:15" x14ac:dyDescent="0.2">
      <c r="A113" s="33" t="str">
        <f>Saldobalance!B131</f>
        <v>Revision</v>
      </c>
      <c r="B113" s="13"/>
      <c r="C113" s="2">
        <v>29812.5</v>
      </c>
      <c r="D113" s="13"/>
      <c r="E113" s="2">
        <v>31500</v>
      </c>
      <c r="F113" s="13"/>
      <c r="G113" s="2">
        <f>Saldobalance!D134</f>
        <v>31500</v>
      </c>
      <c r="H113" s="9">
        <f>(G113-E113)/E113*100</f>
        <v>0</v>
      </c>
      <c r="I113" s="4"/>
      <c r="J113" s="13"/>
      <c r="K113" s="2">
        <f>SUM(J114:J115)</f>
        <v>32750</v>
      </c>
      <c r="L113" s="9">
        <f>(K113-E113)/E113*100</f>
        <v>3.9682539682539679</v>
      </c>
      <c r="M113" s="4"/>
      <c r="N113" s="4"/>
    </row>
    <row r="114" spans="1:15" x14ac:dyDescent="0.2">
      <c r="A114" s="10" t="str">
        <f>Saldobalance!B132</f>
        <v>GEF-regnskab</v>
      </c>
      <c r="B114" s="10">
        <v>19750</v>
      </c>
      <c r="C114" s="78"/>
      <c r="D114" s="10">
        <v>20875</v>
      </c>
      <c r="E114" s="78"/>
      <c r="F114" s="10">
        <f>Saldobalance!D132</f>
        <v>20875</v>
      </c>
      <c r="G114" s="78"/>
      <c r="H114" s="78"/>
      <c r="I114" s="4"/>
      <c r="J114" s="10">
        <v>22125</v>
      </c>
      <c r="K114" s="11"/>
      <c r="L114" s="78"/>
      <c r="M114" s="4"/>
      <c r="N114" s="4"/>
      <c r="O114" s="3"/>
    </row>
    <row r="115" spans="1:15" x14ac:dyDescent="0.2">
      <c r="A115" s="10" t="str">
        <f>Saldobalance!B133</f>
        <v>IS-regnskab</v>
      </c>
      <c r="B115" s="10">
        <v>10062.5</v>
      </c>
      <c r="C115" s="78"/>
      <c r="D115" s="10">
        <v>10625</v>
      </c>
      <c r="E115" s="78"/>
      <c r="F115" s="10">
        <f>Saldobalance!D133</f>
        <v>10625</v>
      </c>
      <c r="G115" s="78"/>
      <c r="H115" s="78"/>
      <c r="I115" s="4"/>
      <c r="J115" s="10">
        <v>10625</v>
      </c>
      <c r="K115" s="11"/>
      <c r="L115" s="78"/>
      <c r="M115" s="4"/>
      <c r="N115" s="4"/>
    </row>
    <row r="116" spans="1:15" x14ac:dyDescent="0.2">
      <c r="A116" s="33"/>
      <c r="B116" s="13"/>
      <c r="C116" s="6"/>
      <c r="D116" s="13"/>
      <c r="E116" s="6"/>
      <c r="F116" s="13"/>
      <c r="G116" s="6"/>
      <c r="H116" s="6"/>
      <c r="I116" s="4"/>
      <c r="J116" s="13"/>
      <c r="K116" s="6"/>
      <c r="L116" s="6"/>
      <c r="M116" s="4"/>
      <c r="N116" s="4"/>
    </row>
    <row r="117" spans="1:15" x14ac:dyDescent="0.2">
      <c r="A117" s="33" t="str">
        <f>Saldobalance!B136</f>
        <v>Diverse</v>
      </c>
      <c r="B117" s="13"/>
      <c r="C117" s="2">
        <v>0</v>
      </c>
      <c r="D117" s="13"/>
      <c r="E117" s="2">
        <v>0</v>
      </c>
      <c r="F117" s="13"/>
      <c r="G117" s="2">
        <f>Saldobalance!D141</f>
        <v>813.3</v>
      </c>
      <c r="H117" s="9" t="e">
        <f>(G117-E117)/E117*100</f>
        <v>#DIV/0!</v>
      </c>
      <c r="I117" s="4"/>
      <c r="J117" s="13"/>
      <c r="K117" s="2">
        <f>SUM(J118:J120)</f>
        <v>0</v>
      </c>
      <c r="L117" s="9" t="e">
        <f>(K117-E117)/E117*100</f>
        <v>#DIV/0!</v>
      </c>
      <c r="M117" s="4"/>
      <c r="N117" s="4"/>
    </row>
    <row r="118" spans="1:15" x14ac:dyDescent="0.2">
      <c r="A118" s="10" t="str">
        <f>Saldobalance!B137</f>
        <v>Tab på Bofæller</v>
      </c>
      <c r="B118" s="10">
        <v>0</v>
      </c>
      <c r="C118" s="78"/>
      <c r="D118" s="10">
        <v>0</v>
      </c>
      <c r="E118" s="78"/>
      <c r="F118" s="10">
        <f>Saldobalance!D137</f>
        <v>0</v>
      </c>
      <c r="G118" s="78"/>
      <c r="H118" s="78"/>
      <c r="I118" s="4"/>
      <c r="J118" s="10">
        <v>0</v>
      </c>
      <c r="K118" s="11"/>
      <c r="L118" s="78"/>
      <c r="M118" s="4"/>
      <c r="N118" s="4"/>
    </row>
    <row r="119" spans="1:15" x14ac:dyDescent="0.2">
      <c r="A119" s="10" t="str">
        <f>Saldobalance!B138</f>
        <v>Øredifferencer</v>
      </c>
      <c r="B119" s="10">
        <v>0</v>
      </c>
      <c r="C119" s="78"/>
      <c r="D119" s="10">
        <v>0</v>
      </c>
      <c r="E119" s="78"/>
      <c r="F119" s="10">
        <f>Saldobalance!D138</f>
        <v>0</v>
      </c>
      <c r="G119" s="78"/>
      <c r="H119" s="78"/>
      <c r="I119" s="4"/>
      <c r="J119" s="10">
        <v>0</v>
      </c>
      <c r="K119" s="11"/>
      <c r="L119" s="78"/>
      <c r="M119" s="4"/>
      <c r="N119" s="4"/>
    </row>
    <row r="120" spans="1:15" x14ac:dyDescent="0.2">
      <c r="A120" s="10" t="str">
        <f>Saldobalance!B140</f>
        <v>Diverse omkostninger</v>
      </c>
      <c r="B120" s="10">
        <v>0</v>
      </c>
      <c r="C120" s="78"/>
      <c r="D120" s="10">
        <v>0</v>
      </c>
      <c r="E120" s="78"/>
      <c r="F120" s="10">
        <f>Saldobalance!D140</f>
        <v>813.3</v>
      </c>
      <c r="G120" s="78"/>
      <c r="H120" s="78"/>
      <c r="I120" s="4"/>
      <c r="J120" s="10">
        <v>0</v>
      </c>
      <c r="K120" s="11"/>
      <c r="L120" s="78"/>
      <c r="M120" s="4"/>
      <c r="N120" s="4"/>
    </row>
    <row r="121" spans="1:15" x14ac:dyDescent="0.2">
      <c r="A121" s="14"/>
      <c r="B121" s="14"/>
      <c r="C121" s="48"/>
      <c r="D121" s="14"/>
      <c r="E121" s="48"/>
      <c r="F121" s="14"/>
      <c r="G121" s="48"/>
      <c r="H121" s="48"/>
      <c r="I121" s="4"/>
      <c r="J121" s="14"/>
      <c r="K121" s="48"/>
      <c r="L121" s="48"/>
      <c r="M121" s="4"/>
      <c r="N121" s="4"/>
    </row>
    <row r="122" spans="1:15" ht="13.5" thickBot="1" x14ac:dyDescent="0.25">
      <c r="A122" s="21" t="str">
        <f>Saldobalance!B142</f>
        <v>Faste omkostninger i alt</v>
      </c>
      <c r="B122" s="35"/>
      <c r="C122" s="7">
        <v>455520.24000000005</v>
      </c>
      <c r="D122" s="35"/>
      <c r="E122" s="7">
        <v>420166.51913131314</v>
      </c>
      <c r="F122" s="35"/>
      <c r="G122" s="7">
        <f>Saldobalance!D142</f>
        <v>394145.9</v>
      </c>
      <c r="H122" s="97">
        <f>(G122-E122)/E122*100</f>
        <v>-6.1929301709023088</v>
      </c>
      <c r="I122" s="4"/>
      <c r="J122" s="35"/>
      <c r="K122" s="7">
        <f>SUM(K80:K120)</f>
        <v>398787.50293940585</v>
      </c>
      <c r="L122" s="62">
        <f>(K122-E122)/E122*100</f>
        <v>-5.0882246010719809</v>
      </c>
      <c r="M122" s="4"/>
      <c r="N122" s="4"/>
    </row>
    <row r="123" spans="1:15" x14ac:dyDescent="0.2">
      <c r="A123" s="12"/>
      <c r="B123" s="1"/>
      <c r="C123" s="16"/>
      <c r="D123" s="1"/>
      <c r="E123" s="16"/>
      <c r="F123" s="1"/>
      <c r="G123" s="16"/>
      <c r="H123" s="16"/>
      <c r="I123" s="4"/>
      <c r="J123" s="1"/>
      <c r="K123" s="16"/>
      <c r="L123" s="16"/>
      <c r="M123" s="4"/>
      <c r="N123" s="4"/>
      <c r="O123" s="86"/>
    </row>
    <row r="124" spans="1:15" ht="13.5" thickBot="1" x14ac:dyDescent="0.25">
      <c r="A124" s="21" t="str">
        <f>Saldobalance!B143</f>
        <v>Fælles omkostninger i alt</v>
      </c>
      <c r="B124" s="39"/>
      <c r="C124" s="22">
        <v>703385.75999999989</v>
      </c>
      <c r="D124" s="39"/>
      <c r="E124" s="22">
        <v>746216.51913131308</v>
      </c>
      <c r="F124" s="39"/>
      <c r="G124" s="22">
        <f>Saldobalance!D143</f>
        <v>723166.15</v>
      </c>
      <c r="H124" s="97">
        <f>(G124-E124)/E124*100</f>
        <v>-3.0889652721902339</v>
      </c>
      <c r="I124" s="4"/>
      <c r="J124" s="39"/>
      <c r="K124" s="22">
        <f>SUM(K75+K122)</f>
        <v>704937.50293940585</v>
      </c>
      <c r="L124" s="62">
        <f>(K124-E124)/E124*100</f>
        <v>-5.531774643633061</v>
      </c>
      <c r="M124" s="4"/>
      <c r="N124" s="4"/>
    </row>
    <row r="125" spans="1:15" x14ac:dyDescent="0.2">
      <c r="I125" s="4"/>
      <c r="M125" s="4"/>
      <c r="N125" s="4"/>
      <c r="O125" s="90"/>
    </row>
    <row r="126" spans="1:15" ht="13.5" thickBot="1" x14ac:dyDescent="0.25">
      <c r="A126" s="21" t="str">
        <f>Saldobalance!B144</f>
        <v>Årets resultat for Bakken</v>
      </c>
      <c r="B126" s="39"/>
      <c r="C126" s="87">
        <v>10980.68999999993</v>
      </c>
      <c r="D126" s="274"/>
      <c r="E126" s="275">
        <v>1927.4808686869219</v>
      </c>
      <c r="F126" s="274"/>
      <c r="G126" s="275">
        <f>-Saldobalance!D144</f>
        <v>25177.850000000039</v>
      </c>
      <c r="H126" s="276">
        <f>(G126-E126)/E126*100</f>
        <v>1206.2568043620693</v>
      </c>
      <c r="I126" s="273">
        <v>12</v>
      </c>
      <c r="J126" s="39"/>
      <c r="K126" s="87">
        <f>-(K10+K124)</f>
        <v>10806.497060594149</v>
      </c>
      <c r="L126" s="62">
        <f>(K126-E126)/E126*100</f>
        <v>460.65392067709456</v>
      </c>
      <c r="M126" s="4"/>
      <c r="N126" s="4"/>
    </row>
    <row r="127" spans="1:15" x14ac:dyDescent="0.2">
      <c r="A127" s="12"/>
      <c r="B127" s="40"/>
      <c r="C127" s="105"/>
      <c r="D127" s="40"/>
      <c r="E127" s="105"/>
      <c r="F127" s="40"/>
      <c r="G127" s="105"/>
      <c r="H127" s="106"/>
      <c r="I127" s="4"/>
      <c r="J127" s="40"/>
      <c r="K127" s="105"/>
      <c r="L127" s="107"/>
      <c r="M127" s="4"/>
      <c r="N127" s="4"/>
    </row>
    <row r="128" spans="1:15" x14ac:dyDescent="0.2">
      <c r="A128" s="12"/>
      <c r="B128" s="40"/>
      <c r="C128" s="105"/>
      <c r="D128" s="40"/>
      <c r="E128" s="105"/>
      <c r="F128" s="40"/>
      <c r="G128" s="105"/>
      <c r="H128" s="106"/>
      <c r="I128" s="4"/>
      <c r="J128" s="40"/>
      <c r="K128" s="105"/>
      <c r="L128" s="107"/>
      <c r="M128" s="4"/>
      <c r="N128" s="4"/>
    </row>
    <row r="129" spans="1:16" x14ac:dyDescent="0.2">
      <c r="A129" s="12"/>
      <c r="B129" s="1"/>
      <c r="C129" s="12"/>
      <c r="D129" s="1"/>
      <c r="E129" s="12"/>
      <c r="F129" s="1"/>
      <c r="G129" s="12"/>
      <c r="H129" s="4"/>
      <c r="L129" s="4"/>
      <c r="M129" s="4"/>
      <c r="N129" s="4"/>
      <c r="O129" s="3"/>
      <c r="P129" s="3"/>
    </row>
    <row r="130" spans="1:16" s="8" customFormat="1" ht="18" x14ac:dyDescent="0.25">
      <c r="A130" s="103" t="s">
        <v>198</v>
      </c>
      <c r="H130" s="104"/>
      <c r="L130" s="104"/>
      <c r="M130" s="4"/>
      <c r="N130" s="4"/>
    </row>
    <row r="131" spans="1:16" x14ac:dyDescent="0.2">
      <c r="I131" s="4"/>
      <c r="M131" s="4"/>
      <c r="N131" s="4"/>
    </row>
    <row r="132" spans="1:16" ht="13.5" thickBot="1" x14ac:dyDescent="0.25">
      <c r="A132" s="21" t="str">
        <f>Saldobalance!B270</f>
        <v>EGENKAPITAL</v>
      </c>
      <c r="B132" s="39"/>
      <c r="C132" s="101">
        <v>7516547.6600000001</v>
      </c>
      <c r="D132" s="273"/>
      <c r="E132" s="273"/>
      <c r="F132" s="273"/>
      <c r="G132" s="277">
        <f>-Saldobalance!D274</f>
        <v>7414478.8600000003</v>
      </c>
      <c r="H132" s="278"/>
      <c r="I132" s="273">
        <v>13</v>
      </c>
      <c r="M132" s="4"/>
      <c r="N132" s="4"/>
      <c r="P132" s="139"/>
    </row>
    <row r="133" spans="1:16" x14ac:dyDescent="0.2">
      <c r="D133" s="4"/>
      <c r="E133" s="4"/>
      <c r="F133" s="4"/>
      <c r="M133" s="4"/>
      <c r="N133" s="4"/>
    </row>
    <row r="134" spans="1:16" ht="13.5" thickBot="1" x14ac:dyDescent="0.25">
      <c r="A134" s="21" t="str">
        <f>Saldobalance!B295</f>
        <v>5-årsplanen opsparet</v>
      </c>
      <c r="B134" s="39"/>
      <c r="C134" s="87">
        <v>159664.93</v>
      </c>
      <c r="D134" s="273"/>
      <c r="E134" s="273"/>
      <c r="F134" s="273"/>
      <c r="G134" s="277">
        <f>-Saldobalance!D296</f>
        <v>206615.91</v>
      </c>
      <c r="H134" s="278"/>
      <c r="I134" s="273">
        <v>14</v>
      </c>
      <c r="M134" s="4"/>
      <c r="N134" s="4"/>
    </row>
    <row r="135" spans="1:16" x14ac:dyDescent="0.2">
      <c r="D135" s="4"/>
      <c r="E135" s="4"/>
      <c r="F135" s="4"/>
      <c r="M135" s="4"/>
      <c r="N135" s="4"/>
    </row>
    <row r="136" spans="1:16" ht="13.5" thickBot="1" x14ac:dyDescent="0.25">
      <c r="A136" s="21" t="str">
        <f>Saldobalance!B220</f>
        <v>Bakkens Bank</v>
      </c>
      <c r="B136" s="39"/>
      <c r="C136" s="87">
        <v>-1055810.9400000002</v>
      </c>
      <c r="D136" s="273"/>
      <c r="E136" s="273"/>
      <c r="F136" s="273"/>
      <c r="G136" s="275">
        <f>-Saldobalance!D227</f>
        <v>-938527.64</v>
      </c>
      <c r="H136" s="278"/>
      <c r="I136" s="273">
        <v>15</v>
      </c>
      <c r="M136" s="4"/>
      <c r="N136" s="4"/>
    </row>
    <row r="137" spans="1:16" x14ac:dyDescent="0.2">
      <c r="D137" s="4"/>
      <c r="E137" s="4"/>
      <c r="F137" s="4"/>
      <c r="M137" s="4"/>
      <c r="N137" s="4"/>
    </row>
    <row r="138" spans="1:16" ht="13.5" thickBot="1" x14ac:dyDescent="0.25">
      <c r="A138" s="21" t="s">
        <v>191</v>
      </c>
      <c r="B138" s="39"/>
      <c r="C138" s="87">
        <v>390167.98</v>
      </c>
      <c r="D138" s="273"/>
      <c r="E138" s="273"/>
      <c r="F138" s="273"/>
      <c r="G138" s="277">
        <f>Saldobalance!D263+Saldobalance!D302+Saldobalance!D316+Saldobalance!D311</f>
        <v>438035.53</v>
      </c>
      <c r="H138" s="278"/>
      <c r="I138" s="273">
        <v>16</v>
      </c>
      <c r="M138" s="4"/>
      <c r="N138" s="4"/>
    </row>
    <row r="139" spans="1:16" x14ac:dyDescent="0.2">
      <c r="D139" s="4"/>
      <c r="E139" s="4"/>
      <c r="F139" s="4"/>
      <c r="I139" s="4"/>
      <c r="M139" s="4"/>
      <c r="N139" s="4"/>
    </row>
    <row r="140" spans="1:16" ht="13.5" thickBot="1" x14ac:dyDescent="0.25">
      <c r="A140" s="21" t="s">
        <v>190</v>
      </c>
      <c r="B140" s="39"/>
      <c r="C140" s="22">
        <v>0</v>
      </c>
      <c r="D140" s="273"/>
      <c r="E140" s="273"/>
      <c r="F140" s="273"/>
      <c r="G140" s="277">
        <f>IF(Saldobalance!D311+Saldobalance!D263&lt;0,-(Saldobalance!D311+Saldobalance!D263),0)</f>
        <v>0</v>
      </c>
      <c r="H140" s="278"/>
      <c r="I140" s="273">
        <v>17</v>
      </c>
      <c r="M140" s="4"/>
      <c r="N140" s="4"/>
    </row>
    <row r="141" spans="1:16" x14ac:dyDescent="0.2">
      <c r="D141" s="4"/>
      <c r="E141" s="4"/>
      <c r="F141" s="4"/>
      <c r="I141" s="4"/>
      <c r="M141" s="4"/>
      <c r="N141" s="4"/>
    </row>
    <row r="142" spans="1:16" ht="13.5" thickBot="1" x14ac:dyDescent="0.25">
      <c r="A142" s="21" t="str">
        <f>Saldobalance!B240</f>
        <v>Tilgodehavender hos Bofæller</v>
      </c>
      <c r="B142" s="39"/>
      <c r="C142" s="22">
        <v>5529.34</v>
      </c>
      <c r="D142" s="273"/>
      <c r="E142" s="273"/>
      <c r="F142" s="273"/>
      <c r="G142" s="277">
        <f>Saldobalance!D241</f>
        <v>22917.87</v>
      </c>
      <c r="H142" s="278"/>
      <c r="I142" s="273">
        <v>18</v>
      </c>
      <c r="M142" s="4"/>
      <c r="N142" s="4"/>
    </row>
    <row r="143" spans="1:16" x14ac:dyDescent="0.2">
      <c r="A143" s="12"/>
      <c r="B143" s="40"/>
      <c r="C143" s="40"/>
      <c r="D143" s="40"/>
      <c r="E143" s="40"/>
      <c r="F143" s="40"/>
      <c r="G143" s="40"/>
      <c r="H143" s="40"/>
      <c r="I143" s="4"/>
      <c r="M143" s="4"/>
      <c r="N143" s="4"/>
    </row>
    <row r="144" spans="1:16" ht="18" x14ac:dyDescent="0.25">
      <c r="I144" s="4"/>
      <c r="M144" s="4"/>
      <c r="N144" s="4"/>
      <c r="O144" s="61"/>
    </row>
    <row r="145" spans="1:16" x14ac:dyDescent="0.2">
      <c r="A145" s="12"/>
      <c r="B145" s="1"/>
      <c r="C145" s="12"/>
      <c r="D145" s="1"/>
      <c r="E145" s="12"/>
      <c r="F145" s="1"/>
      <c r="G145" s="12"/>
      <c r="H145" s="4"/>
      <c r="L145" s="4"/>
      <c r="M145" s="4"/>
      <c r="N145" s="4"/>
      <c r="O145" s="3"/>
      <c r="P145" s="3"/>
    </row>
    <row r="146" spans="1:16" s="8" customFormat="1" ht="18" x14ac:dyDescent="0.25">
      <c r="A146" s="103" t="s">
        <v>206</v>
      </c>
      <c r="H146" s="104"/>
      <c r="L146" s="104"/>
      <c r="M146" s="4"/>
      <c r="N146" s="4"/>
    </row>
    <row r="147" spans="1:16" ht="18.75" thickBot="1" x14ac:dyDescent="0.3">
      <c r="I147" s="4"/>
      <c r="M147" s="4"/>
      <c r="N147" s="4"/>
      <c r="P147" s="61"/>
    </row>
    <row r="148" spans="1:16" s="83" customFormat="1" ht="13.5" thickBot="1" x14ac:dyDescent="0.25">
      <c r="A148" s="129" t="str">
        <f>Saldobalance!B148</f>
        <v>Vaskeriet</v>
      </c>
      <c r="B148" s="130" t="s">
        <v>1</v>
      </c>
      <c r="C148" s="131">
        <f>B2-1</f>
        <v>2022</v>
      </c>
      <c r="D148" s="130"/>
      <c r="E148" s="131"/>
      <c r="F148" s="130" t="str">
        <f>$F$5</f>
        <v xml:space="preserve">Regnskab </v>
      </c>
      <c r="G148" s="131">
        <f>$G$5</f>
        <v>2023</v>
      </c>
      <c r="H148" s="132"/>
      <c r="L148" s="132"/>
      <c r="M148" s="132"/>
      <c r="N148" s="132"/>
    </row>
    <row r="149" spans="1:16" x14ac:dyDescent="0.2">
      <c r="A149" s="18"/>
      <c r="B149" s="45" t="s">
        <v>144</v>
      </c>
      <c r="C149" s="46" t="s">
        <v>24</v>
      </c>
      <c r="D149" s="45"/>
      <c r="E149" s="46"/>
      <c r="F149" s="45" t="s">
        <v>144</v>
      </c>
      <c r="G149" s="46" t="s">
        <v>24</v>
      </c>
      <c r="H149" s="4"/>
      <c r="L149" s="4"/>
      <c r="M149" s="4"/>
      <c r="N149" s="4"/>
    </row>
    <row r="150" spans="1:16" x14ac:dyDescent="0.2">
      <c r="A150" s="27" t="s">
        <v>3</v>
      </c>
      <c r="B150" s="30"/>
      <c r="C150" s="31"/>
      <c r="D150" s="30"/>
      <c r="E150" s="31"/>
      <c r="F150" s="30"/>
      <c r="G150" s="31"/>
      <c r="H150" s="4"/>
      <c r="L150" s="4"/>
      <c r="M150" s="4"/>
      <c r="N150" s="4"/>
    </row>
    <row r="151" spans="1:16" x14ac:dyDescent="0.2">
      <c r="A151" s="10" t="str">
        <f>Saldobalance!B149</f>
        <v>Vask opkrævet</v>
      </c>
      <c r="B151" s="51"/>
      <c r="C151" s="11">
        <v>-35531.620000000003</v>
      </c>
      <c r="D151" s="51"/>
      <c r="E151" s="11"/>
      <c r="F151" s="51"/>
      <c r="G151" s="11">
        <f>Saldobalance!D149</f>
        <v>-43203.26</v>
      </c>
      <c r="H151" s="4"/>
      <c r="L151" s="4"/>
      <c r="M151" s="4"/>
      <c r="N151" s="4"/>
    </row>
    <row r="152" spans="1:16" x14ac:dyDescent="0.2">
      <c r="A152" s="10" t="str">
        <f>Saldobalance!B150</f>
        <v>Vask Fælleshuset</v>
      </c>
      <c r="B152" s="51"/>
      <c r="C152" s="11">
        <v>-2726.68</v>
      </c>
      <c r="D152" s="51"/>
      <c r="E152" s="11"/>
      <c r="F152" s="51"/>
      <c r="G152" s="11">
        <f>Saldobalance!D150</f>
        <v>-2452.71</v>
      </c>
      <c r="H152" s="4"/>
      <c r="L152" s="4"/>
      <c r="M152" s="4"/>
      <c r="N152" s="4"/>
    </row>
    <row r="153" spans="1:16" x14ac:dyDescent="0.2">
      <c r="A153" s="10" t="str">
        <f>Saldobalance!B151</f>
        <v>Vaskemidler</v>
      </c>
      <c r="B153" s="51">
        <v>15199.07</v>
      </c>
      <c r="C153" s="11"/>
      <c r="D153" s="51"/>
      <c r="E153" s="11"/>
      <c r="F153" s="51">
        <f>Saldobalance!D151</f>
        <v>27135.73</v>
      </c>
      <c r="G153" s="11"/>
      <c r="H153" s="4"/>
      <c r="L153" s="4"/>
      <c r="M153" s="4"/>
      <c r="N153" s="4"/>
    </row>
    <row r="154" spans="1:16" x14ac:dyDescent="0.2">
      <c r="A154" s="10" t="str">
        <f>Saldobalance!B152</f>
        <v>EL</v>
      </c>
      <c r="B154" s="51">
        <v>12292</v>
      </c>
      <c r="C154" s="11"/>
      <c r="D154" s="51"/>
      <c r="E154" s="11"/>
      <c r="F154" s="51">
        <f>Saldobalance!D152</f>
        <v>5907</v>
      </c>
      <c r="G154" s="11"/>
      <c r="H154" s="4"/>
      <c r="L154" s="4"/>
      <c r="M154" s="4"/>
      <c r="N154" s="4"/>
    </row>
    <row r="155" spans="1:16" x14ac:dyDescent="0.2">
      <c r="A155" s="10" t="str">
        <f>Saldobalance!B153</f>
        <v>Gas</v>
      </c>
      <c r="B155" s="51">
        <v>0</v>
      </c>
      <c r="C155" s="11"/>
      <c r="D155" s="51"/>
      <c r="E155" s="11"/>
      <c r="F155" s="51">
        <f>Saldobalance!D153</f>
        <v>0</v>
      </c>
      <c r="G155" s="11"/>
      <c r="H155" s="4"/>
      <c r="L155" s="4"/>
      <c r="M155" s="4"/>
      <c r="N155" s="4"/>
    </row>
    <row r="156" spans="1:16" x14ac:dyDescent="0.2">
      <c r="A156" s="10" t="str">
        <f>Saldobalance!B154</f>
        <v>Vand</v>
      </c>
      <c r="B156" s="51">
        <v>11266</v>
      </c>
      <c r="C156" s="11"/>
      <c r="D156" s="51"/>
      <c r="E156" s="11"/>
      <c r="F156" s="51">
        <f>Saldobalance!D154</f>
        <v>11225</v>
      </c>
      <c r="G156" s="11"/>
      <c r="H156" s="4"/>
      <c r="L156" s="4"/>
      <c r="M156" s="4"/>
      <c r="N156" s="4"/>
    </row>
    <row r="157" spans="1:16" x14ac:dyDescent="0.2">
      <c r="A157" s="10" t="str">
        <f>Saldobalance!B155</f>
        <v>Salttabletter</v>
      </c>
      <c r="B157" s="51">
        <v>244.58</v>
      </c>
      <c r="C157" s="11"/>
      <c r="D157" s="51"/>
      <c r="E157" s="11"/>
      <c r="F157" s="51">
        <f>Saldobalance!D155</f>
        <v>934.63</v>
      </c>
      <c r="G157" s="11"/>
      <c r="H157" s="4"/>
      <c r="L157" s="4"/>
      <c r="M157" s="4"/>
      <c r="N157" s="4"/>
    </row>
    <row r="158" spans="1:16" ht="13.5" thickBot="1" x14ac:dyDescent="0.25">
      <c r="A158" s="21" t="str">
        <f>Saldobalance!B156</f>
        <v>Vaskeriet i alt</v>
      </c>
      <c r="B158" s="35"/>
      <c r="C158" s="7">
        <v>743.34999999999684</v>
      </c>
      <c r="D158" s="35"/>
      <c r="E158" s="7"/>
      <c r="F158" s="35"/>
      <c r="G158" s="7">
        <f>Saldobalance!D156</f>
        <v>-453.61000000000161</v>
      </c>
      <c r="H158" s="4"/>
      <c r="L158" s="4"/>
      <c r="M158" s="4"/>
      <c r="N158" s="4"/>
    </row>
    <row r="159" spans="1:16" x14ac:dyDescent="0.2">
      <c r="M159" s="4"/>
      <c r="N159" s="4"/>
    </row>
    <row r="160" spans="1:16" ht="13.5" thickBot="1" x14ac:dyDescent="0.25">
      <c r="H160" s="4"/>
      <c r="L160" s="4"/>
      <c r="M160" s="4"/>
      <c r="N160" s="4"/>
    </row>
    <row r="161" spans="1:16" s="83" customFormat="1" ht="13.5" thickBot="1" x14ac:dyDescent="0.25">
      <c r="A161" s="129" t="str">
        <f>Saldobalance!B172</f>
        <v>Renovation</v>
      </c>
      <c r="B161" s="130" t="s">
        <v>1</v>
      </c>
      <c r="C161" s="131">
        <f>B2-1</f>
        <v>2022</v>
      </c>
      <c r="D161" s="130"/>
      <c r="E161" s="131"/>
      <c r="F161" s="130" t="str">
        <f>$F$5</f>
        <v xml:space="preserve">Regnskab </v>
      </c>
      <c r="G161" s="131">
        <f>$G$5</f>
        <v>2023</v>
      </c>
      <c r="H161" s="132"/>
      <c r="L161" s="132"/>
      <c r="M161" s="132"/>
      <c r="N161" s="132"/>
    </row>
    <row r="162" spans="1:16" x14ac:dyDescent="0.2">
      <c r="A162" s="18"/>
      <c r="B162" s="45" t="s">
        <v>144</v>
      </c>
      <c r="C162" s="46" t="s">
        <v>24</v>
      </c>
      <c r="D162" s="45"/>
      <c r="E162" s="46"/>
      <c r="F162" s="45" t="s">
        <v>144</v>
      </c>
      <c r="G162" s="46" t="s">
        <v>24</v>
      </c>
      <c r="H162" s="4"/>
      <c r="L162" s="4"/>
      <c r="M162" s="4"/>
      <c r="N162" s="4"/>
    </row>
    <row r="163" spans="1:16" x14ac:dyDescent="0.2">
      <c r="A163" s="27" t="s">
        <v>3</v>
      </c>
      <c r="B163" s="30"/>
      <c r="C163" s="31"/>
      <c r="D163" s="30"/>
      <c r="E163" s="31"/>
      <c r="F163" s="30"/>
      <c r="G163" s="31"/>
      <c r="H163" s="4"/>
      <c r="L163" s="4"/>
      <c r="M163" s="4"/>
      <c r="N163" s="4"/>
    </row>
    <row r="164" spans="1:16" x14ac:dyDescent="0.2">
      <c r="A164" s="10" t="str">
        <f>Saldobalance!B173</f>
        <v>Renovation opkrævet</v>
      </c>
      <c r="B164" s="51"/>
      <c r="C164" s="11">
        <v>-83252.34</v>
      </c>
      <c r="D164" s="51"/>
      <c r="E164" s="11"/>
      <c r="F164" s="51"/>
      <c r="G164" s="11">
        <f>Saldobalance!D173</f>
        <v>-90944.1</v>
      </c>
      <c r="H164" s="4"/>
      <c r="L164" s="4"/>
      <c r="M164" s="4"/>
      <c r="N164" s="4"/>
    </row>
    <row r="165" spans="1:16" x14ac:dyDescent="0.2">
      <c r="A165" s="10" t="str">
        <f>Saldobalance!B174</f>
        <v>Renovation Fælleshuset</v>
      </c>
      <c r="B165" s="51"/>
      <c r="C165" s="11">
        <v>-10861</v>
      </c>
      <c r="D165" s="51"/>
      <c r="E165" s="11"/>
      <c r="F165" s="51"/>
      <c r="G165" s="11">
        <f>Saldobalance!D174</f>
        <v>2066</v>
      </c>
      <c r="H165" s="4"/>
      <c r="L165" s="4"/>
      <c r="M165" s="4"/>
      <c r="N165" s="4"/>
    </row>
    <row r="166" spans="1:16" x14ac:dyDescent="0.2">
      <c r="A166" s="10" t="str">
        <f>Saldobalance!B175</f>
        <v>Renovation Fredensborg Forsyning</v>
      </c>
      <c r="B166" s="51">
        <v>91926.36</v>
      </c>
      <c r="C166" s="11"/>
      <c r="D166" s="51"/>
      <c r="E166" s="11"/>
      <c r="F166" s="51">
        <f>Saldobalance!D175</f>
        <v>89252.41</v>
      </c>
      <c r="G166" s="11"/>
      <c r="H166" s="4"/>
      <c r="L166" s="4"/>
      <c r="M166" s="4"/>
      <c r="N166" s="4"/>
    </row>
    <row r="167" spans="1:16" ht="13.5" thickBot="1" x14ac:dyDescent="0.25">
      <c r="A167" s="21" t="str">
        <f>Saldobalance!B176</f>
        <v>Renovation i alt</v>
      </c>
      <c r="B167" s="39"/>
      <c r="C167" s="22">
        <v>-2186.9799999999959</v>
      </c>
      <c r="D167" s="39"/>
      <c r="E167" s="22"/>
      <c r="F167" s="39"/>
      <c r="G167" s="22">
        <f>Saldobalance!D176</f>
        <v>374.30999999999767</v>
      </c>
      <c r="H167" s="4"/>
      <c r="L167" s="4"/>
      <c r="M167" s="4"/>
      <c r="N167" s="4"/>
    </row>
    <row r="168" spans="1:16" x14ac:dyDescent="0.2">
      <c r="H168" s="4"/>
      <c r="L168" s="4"/>
      <c r="M168" s="4"/>
      <c r="N168" s="4"/>
    </row>
    <row r="169" spans="1:16" ht="13.5" thickBot="1" x14ac:dyDescent="0.25">
      <c r="H169" s="4"/>
      <c r="L169" s="4"/>
      <c r="M169" s="4"/>
      <c r="N169" s="4"/>
    </row>
    <row r="170" spans="1:16" s="83" customFormat="1" ht="13.5" thickBot="1" x14ac:dyDescent="0.25">
      <c r="A170" s="129" t="str">
        <f>Saldobalance!B178</f>
        <v>TV</v>
      </c>
      <c r="B170" s="130" t="s">
        <v>1</v>
      </c>
      <c r="C170" s="131">
        <f>B2-1</f>
        <v>2022</v>
      </c>
      <c r="D170" s="130"/>
      <c r="E170" s="131"/>
      <c r="F170" s="130" t="str">
        <f>$F$5</f>
        <v xml:space="preserve">Regnskab </v>
      </c>
      <c r="G170" s="131">
        <f>$G$5</f>
        <v>2023</v>
      </c>
      <c r="H170" s="132"/>
      <c r="L170" s="132"/>
      <c r="M170" s="132"/>
      <c r="N170" s="132"/>
    </row>
    <row r="171" spans="1:16" x14ac:dyDescent="0.2">
      <c r="A171" s="18"/>
      <c r="B171" s="45" t="s">
        <v>144</v>
      </c>
      <c r="C171" s="46" t="s">
        <v>24</v>
      </c>
      <c r="D171" s="45"/>
      <c r="E171" s="46"/>
      <c r="F171" s="45" t="s">
        <v>144</v>
      </c>
      <c r="G171" s="46" t="s">
        <v>24</v>
      </c>
      <c r="H171" s="4"/>
      <c r="L171" s="4"/>
      <c r="M171" s="4"/>
      <c r="N171" s="4"/>
    </row>
    <row r="172" spans="1:16" x14ac:dyDescent="0.2">
      <c r="A172" s="27" t="s">
        <v>3</v>
      </c>
      <c r="B172" s="30"/>
      <c r="C172" s="31"/>
      <c r="D172" s="30"/>
      <c r="E172" s="31"/>
      <c r="F172" s="30"/>
      <c r="G172" s="31"/>
      <c r="H172" s="4"/>
      <c r="L172" s="4"/>
      <c r="M172" s="4"/>
      <c r="N172" s="4"/>
    </row>
    <row r="173" spans="1:16" x14ac:dyDescent="0.2">
      <c r="A173" s="10" t="str">
        <f>Saldobalance!B179</f>
        <v>TV opkrævet</v>
      </c>
      <c r="B173" s="51"/>
      <c r="C173" s="11">
        <v>-59360.52</v>
      </c>
      <c r="D173" s="51"/>
      <c r="E173" s="11"/>
      <c r="F173" s="51"/>
      <c r="G173" s="11">
        <f>Saldobalance!D179</f>
        <v>-61322</v>
      </c>
      <c r="H173" s="4"/>
      <c r="L173" s="4"/>
      <c r="M173" s="4"/>
      <c r="N173" s="4"/>
    </row>
    <row r="174" spans="1:16" x14ac:dyDescent="0.2">
      <c r="A174" s="10" t="str">
        <f>Saldobalance!B180</f>
        <v>TV Fælleshuset</v>
      </c>
      <c r="B174" s="51"/>
      <c r="C174" s="11">
        <v>-6647.97</v>
      </c>
      <c r="D174" s="51"/>
      <c r="E174" s="11"/>
      <c r="F174" s="51"/>
      <c r="G174" s="11">
        <f>Saldobalance!D180</f>
        <v>-7007.88</v>
      </c>
      <c r="H174" s="4"/>
      <c r="I174" s="3"/>
      <c r="J174" s="3"/>
      <c r="L174" s="4"/>
      <c r="M174" s="4"/>
      <c r="N174" s="4"/>
    </row>
    <row r="175" spans="1:16" s="3" customFormat="1" x14ac:dyDescent="0.2">
      <c r="A175" s="10" t="str">
        <f>Saldobalance!B181</f>
        <v>YouSee og andre</v>
      </c>
      <c r="B175" s="50">
        <v>64845.53</v>
      </c>
      <c r="C175" s="11"/>
      <c r="D175" s="50"/>
      <c r="E175" s="11"/>
      <c r="F175" s="50">
        <f>Saldobalance!D181</f>
        <v>68708.25</v>
      </c>
      <c r="G175" s="11"/>
      <c r="H175" s="4"/>
      <c r="I175" s="4"/>
      <c r="J175" s="20"/>
      <c r="L175" s="4"/>
      <c r="M175" s="4"/>
      <c r="N175" s="4"/>
      <c r="O175" s="20"/>
      <c r="P175" s="20"/>
    </row>
    <row r="176" spans="1:16" ht="13.5" thickBot="1" x14ac:dyDescent="0.25">
      <c r="A176" s="21" t="str">
        <f>Saldobalance!B182</f>
        <v>TV i alt</v>
      </c>
      <c r="B176" s="35"/>
      <c r="C176" s="7">
        <v>-1162.9599999999919</v>
      </c>
      <c r="D176" s="279"/>
      <c r="E176" s="280"/>
      <c r="F176" s="279"/>
      <c r="G176" s="280">
        <f>Saldobalance!D182</f>
        <v>378.36999999999534</v>
      </c>
      <c r="H176" s="273"/>
      <c r="I176" s="273">
        <v>19</v>
      </c>
      <c r="L176" s="4"/>
      <c r="M176" s="4"/>
      <c r="N176" s="4"/>
      <c r="O176" s="3"/>
      <c r="P176" s="3"/>
    </row>
    <row r="177" spans="1:16" x14ac:dyDescent="0.2">
      <c r="H177" s="4"/>
      <c r="L177" s="4"/>
      <c r="M177" s="4"/>
      <c r="N177" s="4"/>
    </row>
    <row r="178" spans="1:16" ht="13.5" thickBot="1" x14ac:dyDescent="0.25">
      <c r="H178" s="4"/>
      <c r="L178" s="4"/>
      <c r="M178" s="4"/>
      <c r="N178" s="4"/>
    </row>
    <row r="179" spans="1:16" s="83" customFormat="1" ht="13.5" thickBot="1" x14ac:dyDescent="0.25">
      <c r="A179" s="129" t="str">
        <f>Saldobalance!B208</f>
        <v>Deltagerbetalte arrangementer</v>
      </c>
      <c r="B179" s="130" t="s">
        <v>1</v>
      </c>
      <c r="C179" s="131">
        <f>B2-1</f>
        <v>2022</v>
      </c>
      <c r="D179" s="130"/>
      <c r="E179" s="131"/>
      <c r="F179" s="130" t="str">
        <f>$F$5</f>
        <v xml:space="preserve">Regnskab </v>
      </c>
      <c r="G179" s="131">
        <f>$G$5</f>
        <v>2023</v>
      </c>
      <c r="H179" s="132"/>
      <c r="L179" s="132"/>
      <c r="M179" s="132"/>
      <c r="N179" s="132"/>
    </row>
    <row r="180" spans="1:16" x14ac:dyDescent="0.2">
      <c r="A180" s="18"/>
      <c r="B180" s="45" t="s">
        <v>144</v>
      </c>
      <c r="C180" s="46" t="s">
        <v>24</v>
      </c>
      <c r="D180" s="45"/>
      <c r="E180" s="46"/>
      <c r="F180" s="45" t="s">
        <v>144</v>
      </c>
      <c r="G180" s="46" t="s">
        <v>24</v>
      </c>
      <c r="H180" s="4"/>
      <c r="L180" s="4"/>
      <c r="M180" s="4"/>
      <c r="N180" s="4"/>
    </row>
    <row r="181" spans="1:16" x14ac:dyDescent="0.2">
      <c r="A181" s="27" t="s">
        <v>3</v>
      </c>
      <c r="B181" s="30"/>
      <c r="C181" s="31"/>
      <c r="D181" s="30"/>
      <c r="E181" s="31"/>
      <c r="F181" s="30"/>
      <c r="G181" s="31"/>
      <c r="H181" s="4"/>
      <c r="L181" s="4"/>
      <c r="M181" s="4"/>
      <c r="N181" s="4"/>
    </row>
    <row r="182" spans="1:16" x14ac:dyDescent="0.2">
      <c r="A182" s="10" t="str">
        <f>Saldobalance!B209</f>
        <v>Kultur opkrævet</v>
      </c>
      <c r="B182" s="51"/>
      <c r="C182" s="11">
        <v>-1065</v>
      </c>
      <c r="D182" s="51"/>
      <c r="E182" s="11"/>
      <c r="F182" s="51"/>
      <c r="G182" s="11">
        <f>Saldobalance!D209</f>
        <v>-519.99</v>
      </c>
      <c r="H182" s="4"/>
      <c r="I182" s="3"/>
      <c r="J182" s="3"/>
      <c r="L182" s="4"/>
      <c r="M182" s="4"/>
      <c r="N182" s="4"/>
    </row>
    <row r="183" spans="1:16" x14ac:dyDescent="0.2">
      <c r="A183" s="10" t="str">
        <f>Saldobalance!B210</f>
        <v>Kultur Fælleshuset</v>
      </c>
      <c r="B183" s="51"/>
      <c r="C183" s="11">
        <v>-525</v>
      </c>
      <c r="D183" s="51"/>
      <c r="E183" s="11"/>
      <c r="F183" s="51"/>
      <c r="G183" s="11">
        <f>Saldobalance!D210</f>
        <v>-752.5</v>
      </c>
      <c r="H183" s="4"/>
      <c r="I183" s="3"/>
      <c r="J183" s="3"/>
      <c r="L183" s="4"/>
      <c r="M183" s="4"/>
      <c r="N183" s="4"/>
    </row>
    <row r="184" spans="1:16" s="3" customFormat="1" x14ac:dyDescent="0.2">
      <c r="A184" s="10" t="str">
        <f>Saldobalance!B211</f>
        <v>Kultur udlæg</v>
      </c>
      <c r="B184" s="50">
        <v>1590</v>
      </c>
      <c r="C184" s="11"/>
      <c r="D184" s="50"/>
      <c r="E184" s="11"/>
      <c r="F184" s="50">
        <f>Saldobalance!D211</f>
        <v>1272.5</v>
      </c>
      <c r="G184" s="11"/>
      <c r="H184" s="4"/>
      <c r="I184" s="20"/>
      <c r="J184" s="20"/>
      <c r="L184" s="4"/>
      <c r="M184" s="4"/>
      <c r="N184" s="4"/>
      <c r="O184" s="20"/>
      <c r="P184" s="20"/>
    </row>
    <row r="185" spans="1:16" ht="13.5" thickBot="1" x14ac:dyDescent="0.25">
      <c r="A185" s="21" t="str">
        <f>Saldobalance!B212</f>
        <v>Deltagerbetalte arrangementer i alt</v>
      </c>
      <c r="B185" s="35"/>
      <c r="C185" s="7">
        <v>0</v>
      </c>
      <c r="D185" s="35"/>
      <c r="E185" s="7"/>
      <c r="F185" s="35"/>
      <c r="G185" s="7">
        <f>Saldobalance!D212</f>
        <v>9.9999999999909051E-3</v>
      </c>
      <c r="H185" s="4"/>
      <c r="L185" s="4"/>
      <c r="M185" s="4"/>
      <c r="N185" s="4"/>
      <c r="O185" s="3"/>
      <c r="P185" s="3"/>
    </row>
    <row r="186" spans="1:16" x14ac:dyDescent="0.2">
      <c r="H186" s="4"/>
      <c r="L186" s="4"/>
      <c r="M186" s="4"/>
      <c r="N186" s="4"/>
    </row>
    <row r="187" spans="1:16" ht="13.5" thickBot="1" x14ac:dyDescent="0.25">
      <c r="H187" s="4"/>
      <c r="L187" s="4"/>
      <c r="M187" s="4"/>
      <c r="N187" s="4"/>
    </row>
    <row r="188" spans="1:16" s="83" customFormat="1" ht="13.5" thickBot="1" x14ac:dyDescent="0.25">
      <c r="A188" s="129" t="str">
        <f>Saldobalance!B184</f>
        <v>Fadøl</v>
      </c>
      <c r="B188" s="130" t="s">
        <v>1</v>
      </c>
      <c r="C188" s="131">
        <f>B2-1</f>
        <v>2022</v>
      </c>
      <c r="D188" s="130"/>
      <c r="E188" s="131"/>
      <c r="F188" s="130" t="str">
        <f>$F$5</f>
        <v xml:space="preserve">Regnskab </v>
      </c>
      <c r="G188" s="131">
        <f>$G$5</f>
        <v>2023</v>
      </c>
      <c r="H188" s="132"/>
      <c r="L188" s="132"/>
      <c r="M188" s="132"/>
      <c r="N188" s="132"/>
    </row>
    <row r="189" spans="1:16" x14ac:dyDescent="0.2">
      <c r="A189" s="18"/>
      <c r="B189" s="45" t="s">
        <v>144</v>
      </c>
      <c r="C189" s="46" t="s">
        <v>24</v>
      </c>
      <c r="D189" s="45"/>
      <c r="E189" s="46"/>
      <c r="F189" s="45" t="s">
        <v>144</v>
      </c>
      <c r="G189" s="46" t="s">
        <v>24</v>
      </c>
      <c r="H189" s="4"/>
      <c r="L189" s="4"/>
      <c r="M189" s="4"/>
      <c r="N189" s="4"/>
    </row>
    <row r="190" spans="1:16" x14ac:dyDescent="0.2">
      <c r="A190" s="27" t="s">
        <v>3</v>
      </c>
      <c r="B190" s="30"/>
      <c r="C190" s="31"/>
      <c r="D190" s="30"/>
      <c r="E190" s="31"/>
      <c r="F190" s="30"/>
      <c r="G190" s="31"/>
      <c r="H190" s="4"/>
      <c r="L190" s="4"/>
      <c r="M190" s="4"/>
      <c r="N190" s="4"/>
    </row>
    <row r="191" spans="1:16" x14ac:dyDescent="0.2">
      <c r="A191" s="10" t="str">
        <f>Saldobalance!B185</f>
        <v>Øl fustager opkrævet</v>
      </c>
      <c r="B191" s="51"/>
      <c r="C191" s="11">
        <v>-9226</v>
      </c>
      <c r="D191" s="51"/>
      <c r="E191" s="11"/>
      <c r="F191" s="51"/>
      <c r="G191" s="11">
        <f>Saldobalance!D185</f>
        <v>-13415.5</v>
      </c>
      <c r="H191" s="4"/>
      <c r="L191" s="4"/>
      <c r="M191" s="4"/>
      <c r="N191" s="4"/>
    </row>
    <row r="192" spans="1:16" x14ac:dyDescent="0.2">
      <c r="A192" s="10" t="str">
        <f>Saldobalance!B186</f>
        <v>Øl fustager Fælleshuset</v>
      </c>
      <c r="B192" s="51"/>
      <c r="C192" s="11">
        <v>-6450</v>
      </c>
      <c r="D192" s="51"/>
      <c r="E192" s="11"/>
      <c r="F192" s="51"/>
      <c r="G192" s="11">
        <f>Saldobalance!D186</f>
        <v>-7170.5</v>
      </c>
      <c r="H192" s="4"/>
      <c r="I192" s="3"/>
      <c r="J192" s="3"/>
      <c r="L192" s="4"/>
      <c r="M192" s="4"/>
      <c r="N192" s="4"/>
    </row>
    <row r="193" spans="1:16" x14ac:dyDescent="0.2">
      <c r="A193" s="10" t="str">
        <f>Saldobalance!B187</f>
        <v>Regulering af lagerbeholdning</v>
      </c>
      <c r="B193" s="51">
        <v>496.66</v>
      </c>
      <c r="C193" s="11"/>
      <c r="D193" s="51"/>
      <c r="E193" s="11"/>
      <c r="F193" s="51">
        <f>Saldobalance!D187</f>
        <v>2402.64</v>
      </c>
      <c r="G193" s="11"/>
      <c r="H193" s="4"/>
      <c r="I193" s="3"/>
      <c r="J193" s="3"/>
      <c r="L193" s="4"/>
      <c r="M193" s="4"/>
      <c r="N193" s="4"/>
    </row>
    <row r="194" spans="1:16" s="3" customFormat="1" x14ac:dyDescent="0.2">
      <c r="A194" s="10" t="str">
        <f>Saldobalance!B188</f>
        <v>Tuborg og andre</v>
      </c>
      <c r="B194" s="51">
        <v>15866.27</v>
      </c>
      <c r="C194" s="11"/>
      <c r="D194" s="50"/>
      <c r="E194" s="11"/>
      <c r="F194" s="50">
        <f>Saldobalance!D188</f>
        <v>17970.310000000001</v>
      </c>
      <c r="G194" s="11"/>
      <c r="H194" s="4"/>
      <c r="I194" s="20"/>
      <c r="J194" s="20"/>
      <c r="L194" s="4"/>
      <c r="M194" s="4"/>
      <c r="N194" s="4"/>
      <c r="O194" s="20"/>
      <c r="P194" s="20"/>
    </row>
    <row r="195" spans="1:16" ht="13.5" thickBot="1" x14ac:dyDescent="0.25">
      <c r="A195" s="21" t="str">
        <f>Saldobalance!B189</f>
        <v>Fadøl i alt</v>
      </c>
      <c r="B195" s="35"/>
      <c r="C195" s="7">
        <v>686.93000000000029</v>
      </c>
      <c r="D195" s="35"/>
      <c r="E195" s="7"/>
      <c r="F195" s="35"/>
      <c r="G195" s="7">
        <f>Saldobalance!D189</f>
        <v>-213.04999999999927</v>
      </c>
      <c r="H195" s="4"/>
      <c r="L195" s="4"/>
      <c r="M195" s="4"/>
      <c r="N195" s="4"/>
      <c r="O195" s="3"/>
      <c r="P195" s="3"/>
    </row>
    <row r="196" spans="1:16" x14ac:dyDescent="0.2">
      <c r="A196" s="12"/>
      <c r="B196" s="1"/>
      <c r="C196" s="12"/>
      <c r="D196" s="1"/>
      <c r="E196" s="12"/>
      <c r="F196" s="1"/>
      <c r="G196" s="12"/>
      <c r="H196" s="4"/>
      <c r="L196" s="4"/>
      <c r="M196" s="4"/>
      <c r="N196" s="4"/>
      <c r="O196" s="3"/>
      <c r="P196" s="3"/>
    </row>
    <row r="197" spans="1:16" x14ac:dyDescent="0.2">
      <c r="A197" s="12"/>
      <c r="B197" s="1"/>
      <c r="C197" s="12"/>
      <c r="D197" s="1"/>
      <c r="E197" s="12"/>
      <c r="F197" s="1"/>
      <c r="G197" s="12"/>
      <c r="H197" s="4"/>
      <c r="L197" s="4"/>
      <c r="M197" s="4"/>
      <c r="N197" s="4"/>
      <c r="O197" s="3"/>
      <c r="P197" s="3"/>
    </row>
    <row r="198" spans="1:16" s="8" customFormat="1" ht="18" x14ac:dyDescent="0.25">
      <c r="A198" s="103" t="s">
        <v>197</v>
      </c>
      <c r="H198" s="104"/>
      <c r="L198" s="104"/>
      <c r="M198" s="4"/>
      <c r="N198" s="4"/>
    </row>
    <row r="199" spans="1:16" ht="13.5" thickBot="1" x14ac:dyDescent="0.25">
      <c r="H199" s="4"/>
      <c r="L199" s="4"/>
      <c r="M199" s="4"/>
      <c r="N199" s="4"/>
    </row>
    <row r="200" spans="1:16" s="83" customFormat="1" ht="13.5" thickBot="1" x14ac:dyDescent="0.25">
      <c r="A200" s="129" t="str">
        <f>Saldobalance!B158</f>
        <v>Vand</v>
      </c>
      <c r="B200" s="130" t="s">
        <v>1</v>
      </c>
      <c r="C200" s="131">
        <f>B2-1</f>
        <v>2022</v>
      </c>
      <c r="D200" s="130"/>
      <c r="E200" s="131"/>
      <c r="F200" s="130" t="str">
        <f>$F$5</f>
        <v xml:space="preserve">Regnskab </v>
      </c>
      <c r="G200" s="131">
        <f>$G$5</f>
        <v>2023</v>
      </c>
      <c r="H200" s="132"/>
      <c r="L200" s="132"/>
      <c r="M200" s="132"/>
      <c r="N200" s="132"/>
    </row>
    <row r="201" spans="1:16" x14ac:dyDescent="0.2">
      <c r="A201" s="18"/>
      <c r="B201" s="45" t="s">
        <v>144</v>
      </c>
      <c r="C201" s="46" t="s">
        <v>24</v>
      </c>
      <c r="D201" s="45"/>
      <c r="E201" s="46"/>
      <c r="F201" s="45" t="s">
        <v>144</v>
      </c>
      <c r="G201" s="46" t="s">
        <v>24</v>
      </c>
      <c r="H201" s="4"/>
      <c r="L201" s="4"/>
      <c r="M201" s="4"/>
      <c r="N201" s="4"/>
    </row>
    <row r="202" spans="1:16" x14ac:dyDescent="0.2">
      <c r="A202" s="27" t="s">
        <v>3</v>
      </c>
      <c r="B202" s="30"/>
      <c r="C202" s="31"/>
      <c r="D202" s="30"/>
      <c r="E202" s="31"/>
      <c r="F202" s="30"/>
      <c r="G202" s="31"/>
      <c r="H202" s="4"/>
      <c r="L202" s="4"/>
      <c r="M202" s="4"/>
      <c r="N202" s="4"/>
    </row>
    <row r="203" spans="1:16" x14ac:dyDescent="0.2">
      <c r="A203" s="10" t="str">
        <f>Saldobalance!B159</f>
        <v>Vand opkrævet</v>
      </c>
      <c r="B203" s="51"/>
      <c r="C203" s="11">
        <v>-178074</v>
      </c>
      <c r="D203" s="51"/>
      <c r="E203" s="11"/>
      <c r="F203" s="51"/>
      <c r="G203" s="11">
        <f>Saldobalance!D159</f>
        <v>-116239</v>
      </c>
      <c r="H203" s="4"/>
      <c r="L203" s="4"/>
      <c r="M203" s="4"/>
      <c r="N203" s="4"/>
    </row>
    <row r="204" spans="1:16" x14ac:dyDescent="0.2">
      <c r="A204" s="10" t="str">
        <f>Saldobalance!B160</f>
        <v>Vand Fælleshuset</v>
      </c>
      <c r="B204" s="51"/>
      <c r="C204" s="11">
        <v>-11908</v>
      </c>
      <c r="D204" s="51"/>
      <c r="E204" s="11"/>
      <c r="F204" s="51"/>
      <c r="G204" s="11">
        <f>Saldobalance!D160</f>
        <v>-16573</v>
      </c>
      <c r="H204" s="4"/>
      <c r="I204" s="3"/>
      <c r="J204" s="3"/>
      <c r="L204" s="4"/>
      <c r="M204" s="4"/>
      <c r="N204" s="4"/>
    </row>
    <row r="205" spans="1:16" s="3" customFormat="1" x14ac:dyDescent="0.2">
      <c r="A205" s="10" t="str">
        <f>Saldobalance!B161</f>
        <v>Vand vaskeriet</v>
      </c>
      <c r="B205" s="50"/>
      <c r="C205" s="11">
        <v>-11266</v>
      </c>
      <c r="D205" s="50"/>
      <c r="E205" s="11"/>
      <c r="F205" s="51"/>
      <c r="G205" s="11">
        <f>Saldobalance!D161</f>
        <v>-11225</v>
      </c>
      <c r="H205" s="4"/>
      <c r="I205" s="20"/>
      <c r="J205" s="20"/>
      <c r="L205" s="4"/>
      <c r="M205" s="4"/>
      <c r="N205" s="4"/>
      <c r="O205" s="20"/>
      <c r="P205" s="20"/>
    </row>
    <row r="206" spans="1:16" x14ac:dyDescent="0.2">
      <c r="A206" s="10" t="str">
        <f>Saldobalance!B162</f>
        <v>Vand Fredensborg Forsyning</v>
      </c>
      <c r="B206" s="51">
        <v>195657.61</v>
      </c>
      <c r="C206" s="11"/>
      <c r="D206" s="51"/>
      <c r="E206" s="11"/>
      <c r="F206" s="51">
        <f>Saldobalance!D162</f>
        <v>136118.01999999999</v>
      </c>
      <c r="G206" s="11"/>
      <c r="H206" s="4"/>
      <c r="L206" s="4"/>
      <c r="O206" s="3"/>
      <c r="P206" s="3"/>
    </row>
    <row r="207" spans="1:16" ht="13.5" thickBot="1" x14ac:dyDescent="0.25">
      <c r="A207" s="21" t="str">
        <f>Saldobalance!B163</f>
        <v>Vand i alt</v>
      </c>
      <c r="B207" s="35"/>
      <c r="C207" s="7">
        <v>-5590.390000000014</v>
      </c>
      <c r="D207" s="35"/>
      <c r="E207" s="7"/>
      <c r="F207" s="35"/>
      <c r="G207" s="7">
        <f>Saldobalance!D163</f>
        <v>-7918.9800000000105</v>
      </c>
      <c r="H207" s="4"/>
      <c r="L207" s="4"/>
    </row>
    <row r="208" spans="1:16" x14ac:dyDescent="0.2">
      <c r="H208" s="4"/>
      <c r="L208" s="4"/>
    </row>
    <row r="209" spans="1:16" ht="13.5" thickBot="1" x14ac:dyDescent="0.25">
      <c r="H209" s="4"/>
      <c r="L209" s="4"/>
    </row>
    <row r="210" spans="1:16" s="83" customFormat="1" ht="13.5" thickBot="1" x14ac:dyDescent="0.25">
      <c r="A210" s="129" t="str">
        <f>Saldobalance!B165</f>
        <v>EL/Varme</v>
      </c>
      <c r="B210" s="130" t="s">
        <v>1</v>
      </c>
      <c r="C210" s="131">
        <f>B2-1</f>
        <v>2022</v>
      </c>
      <c r="D210" s="130"/>
      <c r="E210" s="131"/>
      <c r="F210" s="130" t="str">
        <f>$F$5</f>
        <v xml:space="preserve">Regnskab </v>
      </c>
      <c r="G210" s="131">
        <f>$G$5</f>
        <v>2023</v>
      </c>
      <c r="H210" s="132"/>
      <c r="L210" s="132"/>
      <c r="M210" s="132"/>
      <c r="N210" s="132"/>
    </row>
    <row r="211" spans="1:16" x14ac:dyDescent="0.2">
      <c r="A211" s="18"/>
      <c r="B211" s="45" t="s">
        <v>144</v>
      </c>
      <c r="C211" s="46" t="s">
        <v>24</v>
      </c>
      <c r="D211" s="45"/>
      <c r="E211" s="46"/>
      <c r="F211" s="45" t="s">
        <v>144</v>
      </c>
      <c r="G211" s="46" t="s">
        <v>24</v>
      </c>
      <c r="H211" s="4"/>
      <c r="L211" s="4"/>
    </row>
    <row r="212" spans="1:16" x14ac:dyDescent="0.2">
      <c r="A212" s="27" t="s">
        <v>3</v>
      </c>
      <c r="B212" s="30"/>
      <c r="C212" s="31"/>
      <c r="D212" s="30"/>
      <c r="E212" s="31"/>
      <c r="F212" s="30"/>
      <c r="G212" s="31"/>
      <c r="H212" s="4"/>
      <c r="L212" s="4"/>
    </row>
    <row r="213" spans="1:16" x14ac:dyDescent="0.2">
      <c r="A213" s="10" t="str">
        <f>Saldobalance!B166</f>
        <v>Varme opkrævet</v>
      </c>
      <c r="B213" s="51"/>
      <c r="C213" s="11">
        <v>-424467</v>
      </c>
      <c r="D213" s="51"/>
      <c r="E213" s="11"/>
      <c r="F213" s="51"/>
      <c r="G213" s="11">
        <f>Saldobalance!D166</f>
        <v>-125581</v>
      </c>
      <c r="H213" s="4"/>
      <c r="L213" s="4"/>
    </row>
    <row r="214" spans="1:16" x14ac:dyDescent="0.2">
      <c r="A214" s="10" t="str">
        <f>Saldobalance!B167</f>
        <v>Varme Fælleshuset</v>
      </c>
      <c r="B214" s="51"/>
      <c r="C214" s="11">
        <v>-37623</v>
      </c>
      <c r="D214" s="51"/>
      <c r="E214" s="11"/>
      <c r="F214" s="51"/>
      <c r="G214" s="11">
        <f>Saldobalance!D167</f>
        <v>-7416</v>
      </c>
      <c r="H214" s="4"/>
      <c r="I214" s="3"/>
      <c r="J214" s="3"/>
      <c r="L214" s="4"/>
      <c r="M214" s="3"/>
      <c r="N214" s="3"/>
    </row>
    <row r="215" spans="1:16" s="3" customFormat="1" x14ac:dyDescent="0.2">
      <c r="A215" s="10" t="str">
        <f>Saldobalance!B168</f>
        <v>Grøn EL Fælleshus, Østlænge, EL-biler</v>
      </c>
      <c r="B215" s="50"/>
      <c r="C215" s="11">
        <v>-54776</v>
      </c>
      <c r="D215" s="50"/>
      <c r="E215" s="11"/>
      <c r="F215" s="50"/>
      <c r="G215" s="11">
        <f>Saldobalance!D168</f>
        <v>-70414</v>
      </c>
      <c r="H215" s="4"/>
      <c r="L215" s="4"/>
      <c r="O215" s="20"/>
      <c r="P215" s="20"/>
    </row>
    <row r="216" spans="1:16" s="3" customFormat="1" x14ac:dyDescent="0.2">
      <c r="A216" s="10" t="str">
        <f>Saldobalance!B169</f>
        <v>Ørsted</v>
      </c>
      <c r="B216" s="50">
        <v>368422.26</v>
      </c>
      <c r="C216" s="11"/>
      <c r="D216" s="50"/>
      <c r="E216" s="11"/>
      <c r="F216" s="50">
        <f>Saldobalance!D169</f>
        <v>261143.9</v>
      </c>
      <c r="G216" s="11"/>
      <c r="H216" s="4"/>
      <c r="I216" s="20"/>
      <c r="J216" s="20"/>
      <c r="L216" s="4"/>
      <c r="M216" s="20"/>
      <c r="N216" s="20"/>
    </row>
    <row r="217" spans="1:16" ht="13.5" thickBot="1" x14ac:dyDescent="0.25">
      <c r="A217" s="21" t="str">
        <f>Saldobalance!B170</f>
        <v>EL/varme i alt</v>
      </c>
      <c r="B217" s="35"/>
      <c r="C217" s="7">
        <v>-148443.74</v>
      </c>
      <c r="D217" s="35"/>
      <c r="E217" s="7"/>
      <c r="F217" s="35"/>
      <c r="G217" s="7">
        <f>Saldobalance!D170</f>
        <v>57732.899999999994</v>
      </c>
      <c r="H217" s="4"/>
      <c r="L217" s="4"/>
      <c r="O217" s="3"/>
      <c r="P217" s="3"/>
    </row>
    <row r="221" spans="1:16" x14ac:dyDescent="0.2">
      <c r="A221" s="127"/>
      <c r="B221" s="126"/>
      <c r="C221" s="126"/>
    </row>
    <row r="222" spans="1:16" x14ac:dyDescent="0.2">
      <c r="A222" s="126"/>
      <c r="B222" s="126"/>
      <c r="C222" s="126"/>
    </row>
    <row r="223" spans="1:16" x14ac:dyDescent="0.2">
      <c r="A223" s="126"/>
      <c r="B223" s="126"/>
      <c r="C223" s="126"/>
    </row>
    <row r="224" spans="1:16" x14ac:dyDescent="0.2">
      <c r="A224" s="126"/>
      <c r="B224" s="126"/>
      <c r="C224" s="126"/>
    </row>
    <row r="225" spans="1:3" x14ac:dyDescent="0.2">
      <c r="A225" s="126"/>
      <c r="B225" s="126"/>
      <c r="C225" s="126"/>
    </row>
  </sheetData>
  <protectedRanges>
    <protectedRange sqref="J27" name="Område6_1_1"/>
    <protectedRange sqref="J28:J33" name="Område6_2"/>
    <protectedRange sqref="J36:J45" name="Område7_1"/>
    <protectedRange sqref="J18:J24" name="Område5_1"/>
    <protectedRange sqref="J114" name="Område19_1"/>
    <protectedRange sqref="K73" name="Område12"/>
    <protectedRange sqref="J60:K65 J68:K71" name="Område10"/>
    <protectedRange sqref="J48:J51" name="Område8"/>
    <protectedRange sqref="K8:K9" name="Område4"/>
    <protectedRange sqref="B160:C181 B148:C150 B157:C157 B158 K2 B11:C15 B185:C217 B76:C146" name="Område3"/>
    <protectedRange sqref="P4:P5" name="Område2"/>
    <protectedRange sqref="B2 D2 F2 H2" name="Område1"/>
    <protectedRange sqref="K81" name="Område13"/>
    <protectedRange sqref="K83" name="Område14"/>
    <protectedRange sqref="J93:J94 J86:J90" name="Område15"/>
    <protectedRange sqref="J97:J98" name="Område16"/>
    <protectedRange sqref="J101:J106" name="Område17"/>
    <protectedRange sqref="J109:J111" name="Område18"/>
    <protectedRange sqref="J115" name="Område19"/>
    <protectedRange sqref="J118:J120" name="Område20"/>
  </protectedRanges>
  <autoFilter ref="A1:S1" xr:uid="{00000000-0001-0000-0000-000000000000}"/>
  <phoneticPr fontId="11" type="noConversion"/>
  <pageMargins left="0.74803149606299213" right="0.74803149606299213" top="0.55118110236220474" bottom="0.43307086614173229" header="0" footer="0"/>
  <pageSetup paperSize="9" scale="72" fitToHeight="0" orientation="landscape" r:id="rId1"/>
  <headerFooter alignWithMargins="0">
    <oddHeader>&amp;LBofællesskabet Bakken&amp;CRegnskab 2023 / Budget 2024</oddHeader>
    <oddFooter>&amp;LMik og Mette&amp;C5. marts 2024&amp;RSide &amp;P</oddFooter>
  </headerFooter>
  <rowBreaks count="5" manualBreakCount="5">
    <brk id="44" max="13" man="1"/>
    <brk id="76" max="16383" man="1"/>
    <brk id="127" max="16383" man="1"/>
    <brk id="143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95B8-17D0-44A4-AED8-91ADE07AC6BB}">
  <dimension ref="A1:E39"/>
  <sheetViews>
    <sheetView workbookViewId="0">
      <selection activeCell="A39" sqref="A39"/>
    </sheetView>
  </sheetViews>
  <sheetFormatPr defaultRowHeight="12.75" x14ac:dyDescent="0.2"/>
  <cols>
    <col min="1" max="1" width="37.7109375" bestFit="1" customWidth="1"/>
    <col min="2" max="2" width="12.42578125" customWidth="1"/>
    <col min="3" max="3" width="12.5703125" customWidth="1"/>
    <col min="4" max="4" width="11" customWidth="1"/>
  </cols>
  <sheetData>
    <row r="1" spans="1:3" s="144" customFormat="1" x14ac:dyDescent="0.2">
      <c r="A1" s="102" t="s">
        <v>255</v>
      </c>
      <c r="B1" s="20"/>
      <c r="C1" s="86"/>
    </row>
    <row r="2" spans="1:3" s="144" customFormat="1" x14ac:dyDescent="0.2">
      <c r="A2" s="144" t="s">
        <v>194</v>
      </c>
      <c r="B2" s="20">
        <f>-Saldobalance!D311</f>
        <v>1000000</v>
      </c>
      <c r="C2" s="86"/>
    </row>
    <row r="3" spans="1:3" s="144" customFormat="1" x14ac:dyDescent="0.2">
      <c r="A3" s="134" t="s">
        <v>193</v>
      </c>
      <c r="B3" s="121">
        <f>Saldobalance!D263</f>
        <v>1687958.64</v>
      </c>
      <c r="C3" s="86"/>
    </row>
    <row r="4" spans="1:3" s="144" customFormat="1" x14ac:dyDescent="0.2">
      <c r="A4" s="100" t="s">
        <v>256</v>
      </c>
      <c r="B4" s="20">
        <f>B3-B2</f>
        <v>687958.6399999999</v>
      </c>
      <c r="C4" s="86"/>
    </row>
    <row r="5" spans="1:3" s="144" customFormat="1" x14ac:dyDescent="0.2">
      <c r="B5" s="20"/>
      <c r="C5" s="86"/>
    </row>
    <row r="6" spans="1:3" s="144" customFormat="1" x14ac:dyDescent="0.2">
      <c r="A6" s="102" t="s">
        <v>257</v>
      </c>
      <c r="B6" s="20"/>
      <c r="C6" s="86"/>
    </row>
    <row r="7" spans="1:3" s="144" customFormat="1" x14ac:dyDescent="0.2">
      <c r="A7" s="144" t="s">
        <v>135</v>
      </c>
      <c r="B7" s="20">
        <f>-Saldobalance!D316</f>
        <v>17182.2</v>
      </c>
      <c r="C7" s="86"/>
    </row>
    <row r="8" spans="1:3" s="144" customFormat="1" x14ac:dyDescent="0.2">
      <c r="A8" s="86" t="s">
        <v>225</v>
      </c>
      <c r="B8" s="20">
        <f>-Saldobalance!D296</f>
        <v>206615.91</v>
      </c>
      <c r="C8" s="86"/>
    </row>
    <row r="9" spans="1:3" s="144" customFormat="1" x14ac:dyDescent="0.2">
      <c r="A9" s="86" t="s">
        <v>130</v>
      </c>
      <c r="B9" s="20">
        <f>-Saldobalance!D302-B8</f>
        <v>26125</v>
      </c>
      <c r="C9" s="86"/>
    </row>
    <row r="10" spans="1:3" s="144" customFormat="1" x14ac:dyDescent="0.2">
      <c r="A10" s="120" t="s">
        <v>191</v>
      </c>
      <c r="B10" s="121">
        <v>100000</v>
      </c>
      <c r="C10" s="86"/>
    </row>
    <row r="11" spans="1:3" s="144" customFormat="1" x14ac:dyDescent="0.2">
      <c r="A11" s="100" t="s">
        <v>258</v>
      </c>
      <c r="B11" s="20">
        <f>SUM(B7:B10)</f>
        <v>349923.11</v>
      </c>
      <c r="C11" s="86"/>
    </row>
    <row r="12" spans="1:3" s="144" customFormat="1" x14ac:dyDescent="0.2">
      <c r="B12" s="20"/>
      <c r="C12" s="86"/>
    </row>
    <row r="13" spans="1:3" s="144" customFormat="1" x14ac:dyDescent="0.2">
      <c r="A13" s="102" t="s">
        <v>259</v>
      </c>
      <c r="B13" s="20"/>
      <c r="C13" s="86"/>
    </row>
    <row r="14" spans="1:3" s="144" customFormat="1" x14ac:dyDescent="0.2">
      <c r="A14" s="100" t="s">
        <v>260</v>
      </c>
      <c r="B14" s="20">
        <f>IF(B3-B2&gt;0,0,B3-B2)</f>
        <v>0</v>
      </c>
      <c r="C14" s="86"/>
    </row>
    <row r="15" spans="1:3" s="144" customFormat="1" x14ac:dyDescent="0.2">
      <c r="A15" s="100" t="s">
        <v>267</v>
      </c>
      <c r="B15" s="20">
        <f>B11-B4</f>
        <v>-338035.52999999991</v>
      </c>
      <c r="C15" s="86"/>
    </row>
    <row r="16" spans="1:3" s="144" customFormat="1" x14ac:dyDescent="0.2">
      <c r="A16" s="100" t="s">
        <v>261</v>
      </c>
      <c r="B16" s="20">
        <f>B26</f>
        <v>937805.81999999972</v>
      </c>
      <c r="C16" s="86"/>
    </row>
    <row r="17" spans="1:5" s="144" customFormat="1" x14ac:dyDescent="0.2">
      <c r="A17" s="100" t="s">
        <v>262</v>
      </c>
      <c r="B17" s="20">
        <f>B2-(B14+B15+B16)</f>
        <v>400229.7100000002</v>
      </c>
      <c r="C17" s="86"/>
    </row>
    <row r="18" spans="1:5" s="144" customFormat="1" x14ac:dyDescent="0.2">
      <c r="B18" s="20"/>
      <c r="C18" s="86"/>
    </row>
    <row r="19" spans="1:5" s="144" customFormat="1" x14ac:dyDescent="0.2">
      <c r="B19" s="20"/>
      <c r="C19" s="86"/>
    </row>
    <row r="20" spans="1:5" s="144" customFormat="1" x14ac:dyDescent="0.2">
      <c r="A20" s="102" t="s">
        <v>261</v>
      </c>
      <c r="B20" s="261" t="s">
        <v>263</v>
      </c>
      <c r="C20" s="124" t="s">
        <v>264</v>
      </c>
      <c r="D20" s="108" t="s">
        <v>247</v>
      </c>
      <c r="E20" s="100"/>
    </row>
    <row r="21" spans="1:5" s="144" customFormat="1" x14ac:dyDescent="0.2">
      <c r="A21" s="144" t="str">
        <f>Saldobalance!B221</f>
        <v>Tørretumbler - 2021</v>
      </c>
      <c r="B21" s="20">
        <f>C21-Saldobalance!E221</f>
        <v>14570.86</v>
      </c>
      <c r="C21" s="20">
        <v>100874.61</v>
      </c>
      <c r="D21" s="20">
        <f>Saldobalance!E221</f>
        <v>86303.75</v>
      </c>
    </row>
    <row r="22" spans="1:5" s="144" customFormat="1" x14ac:dyDescent="0.2">
      <c r="A22" s="144" t="str">
        <f>Saldobalance!B222</f>
        <v>Vaskemaskiner, 2011</v>
      </c>
      <c r="B22" s="20">
        <f>C22-Saldobalance!E222</f>
        <v>98073.13</v>
      </c>
      <c r="C22" s="20">
        <f>8075.63+84000+5997.5</f>
        <v>98073.13</v>
      </c>
      <c r="D22" s="20">
        <f>Saldobalance!E222</f>
        <v>0</v>
      </c>
    </row>
    <row r="23" spans="1:5" s="144" customFormat="1" x14ac:dyDescent="0.2">
      <c r="A23" s="260" t="str">
        <f>Saldobalance!B223</f>
        <v>Jordvarme - kompressorerne, 2018</v>
      </c>
      <c r="B23" s="20">
        <f>C23-Saldobalance!E223</f>
        <v>400000.13</v>
      </c>
      <c r="C23" s="20">
        <v>1000000</v>
      </c>
      <c r="D23" s="20">
        <f>Saldobalance!E223</f>
        <v>599999.87</v>
      </c>
    </row>
    <row r="24" spans="1:5" s="144" customFormat="1" x14ac:dyDescent="0.2">
      <c r="A24" s="260" t="str">
        <f>Saldobalance!B224</f>
        <v>Ovn, 2020</v>
      </c>
      <c r="B24" s="20">
        <f>C24-Saldobalance!E224</f>
        <v>39898.58</v>
      </c>
      <c r="C24" s="20">
        <v>149892</v>
      </c>
      <c r="D24" s="20">
        <f>Saldobalance!E224</f>
        <v>109993.42</v>
      </c>
    </row>
    <row r="25" spans="1:5" s="144" customFormat="1" x14ac:dyDescent="0.2">
      <c r="A25" s="120" t="str">
        <f>Saldobalance!B226</f>
        <v>Restfinansiering af jordvarmeprojektet, 2018</v>
      </c>
      <c r="B25" s="121">
        <f>C25-Saldobalance!E226</f>
        <v>385263.11999999976</v>
      </c>
      <c r="C25" s="121">
        <v>527493.71999999974</v>
      </c>
      <c r="D25" s="121">
        <f>Saldobalance!E226</f>
        <v>142230.6</v>
      </c>
    </row>
    <row r="26" spans="1:5" s="144" customFormat="1" x14ac:dyDescent="0.2">
      <c r="A26" s="100" t="s">
        <v>265</v>
      </c>
      <c r="B26" s="86">
        <f>SUM(B21:B25)</f>
        <v>937805.81999999972</v>
      </c>
      <c r="C26" s="20"/>
      <c r="D26" s="20">
        <f>SUM(D21:D25)</f>
        <v>938527.64</v>
      </c>
    </row>
    <row r="27" spans="1:5" s="144" customFormat="1" x14ac:dyDescent="0.2">
      <c r="B27" s="20"/>
      <c r="C27" s="86"/>
    </row>
    <row r="28" spans="1:5" s="144" customFormat="1" x14ac:dyDescent="0.2">
      <c r="B28" s="20"/>
      <c r="C28" s="86"/>
    </row>
    <row r="29" spans="1:5" s="144" customFormat="1" x14ac:dyDescent="0.2">
      <c r="B29" s="20"/>
      <c r="C29" s="86"/>
    </row>
    <row r="30" spans="1:5" s="144" customFormat="1" x14ac:dyDescent="0.2">
      <c r="B30" s="20"/>
      <c r="C30" s="86"/>
    </row>
    <row r="31" spans="1:5" s="144" customFormat="1" x14ac:dyDescent="0.2">
      <c r="B31" s="20"/>
      <c r="C31" s="86"/>
    </row>
    <row r="32" spans="1:5" s="144" customFormat="1" x14ac:dyDescent="0.2">
      <c r="B32" s="20"/>
      <c r="C32" s="86"/>
    </row>
    <row r="33" spans="1:4" s="144" customFormat="1" x14ac:dyDescent="0.2">
      <c r="B33" s="20"/>
      <c r="C33" s="86"/>
    </row>
    <row r="34" spans="1:4" s="144" customFormat="1" x14ac:dyDescent="0.2">
      <c r="B34" s="20"/>
      <c r="C34" s="86"/>
    </row>
    <row r="35" spans="1:4" s="144" customFormat="1" x14ac:dyDescent="0.2">
      <c r="B35" s="20"/>
      <c r="C35" s="86"/>
    </row>
    <row r="36" spans="1:4" s="144" customFormat="1" x14ac:dyDescent="0.2">
      <c r="B36" s="20"/>
      <c r="C36" s="86"/>
    </row>
    <row r="37" spans="1:4" s="144" customFormat="1" x14ac:dyDescent="0.2">
      <c r="B37" s="20"/>
      <c r="C37" s="86"/>
    </row>
    <row r="38" spans="1:4" s="144" customFormat="1" x14ac:dyDescent="0.2">
      <c r="B38" s="20"/>
      <c r="C38" s="86"/>
    </row>
    <row r="39" spans="1:4" x14ac:dyDescent="0.2">
      <c r="A39" s="144"/>
      <c r="B39" s="20"/>
      <c r="C39" s="86"/>
      <c r="D39" s="144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3805-4119-4F0B-8EEB-5A66DBC3E780}">
  <dimension ref="A1:E8"/>
  <sheetViews>
    <sheetView zoomScale="110" zoomScaleNormal="110" workbookViewId="0">
      <selection activeCell="C3" sqref="C3"/>
    </sheetView>
  </sheetViews>
  <sheetFormatPr defaultColWidth="8.85546875" defaultRowHeight="12.75" x14ac:dyDescent="0.2"/>
  <cols>
    <col min="1" max="1" width="13.7109375" bestFit="1" customWidth="1"/>
    <col min="2" max="2" width="20.140625" bestFit="1" customWidth="1"/>
    <col min="3" max="3" width="9.85546875" style="20" bestFit="1" customWidth="1"/>
    <col min="5" max="5" width="9.28515625" style="20" bestFit="1" customWidth="1"/>
  </cols>
  <sheetData>
    <row r="1" spans="1:5" s="102" customFormat="1" x14ac:dyDescent="0.2">
      <c r="A1" s="102" t="s">
        <v>241</v>
      </c>
      <c r="B1" s="102" t="s">
        <v>242</v>
      </c>
      <c r="C1" s="69">
        <f>'Regnskab og budget'!B2</f>
        <v>2023</v>
      </c>
      <c r="E1" s="8"/>
    </row>
    <row r="2" spans="1:5" x14ac:dyDescent="0.2">
      <c r="A2" s="100" t="s">
        <v>250</v>
      </c>
      <c r="B2" t="str">
        <f>Saldobalance!B263</f>
        <v>Nordea - 3495871427</v>
      </c>
      <c r="C2" s="20">
        <f>Saldobalance!D263</f>
        <v>1687958.64</v>
      </c>
    </row>
    <row r="3" spans="1:5" s="128" customFormat="1" x14ac:dyDescent="0.2">
      <c r="A3" s="100" t="s">
        <v>253</v>
      </c>
      <c r="B3" s="128" t="str">
        <f>Saldobalance!B295</f>
        <v>5-årsplanen opsparet</v>
      </c>
      <c r="C3" s="20">
        <f>Saldobalance!D296</f>
        <v>-206615.91</v>
      </c>
      <c r="E3" s="20"/>
    </row>
    <row r="4" spans="1:5" x14ac:dyDescent="0.2">
      <c r="A4" s="100" t="s">
        <v>254</v>
      </c>
      <c r="B4" t="str">
        <f>Saldobalance!B301</f>
        <v>Øvrige hensættelser</v>
      </c>
      <c r="C4" s="20">
        <f>SUM(Saldobalance!D297:'Saldobalance'!D301)</f>
        <v>-26125</v>
      </c>
    </row>
    <row r="5" spans="1:5" x14ac:dyDescent="0.2">
      <c r="A5" s="100" t="s">
        <v>251</v>
      </c>
      <c r="B5" t="str">
        <f>Saldobalance!B316</f>
        <v>Skyldige omkostninger</v>
      </c>
      <c r="C5" s="20">
        <f>Saldobalance!D316</f>
        <v>-17182.2</v>
      </c>
    </row>
    <row r="6" spans="1:5" x14ac:dyDescent="0.2">
      <c r="A6" s="109" t="s">
        <v>252</v>
      </c>
      <c r="B6" s="120" t="str">
        <f>Saldobalance!B311</f>
        <v>Nordea Prioritet</v>
      </c>
      <c r="C6" s="121">
        <f>Saldobalance!D311</f>
        <v>-1000000</v>
      </c>
    </row>
    <row r="7" spans="1:5" ht="13.5" thickBot="1" x14ac:dyDescent="0.25">
      <c r="B7" s="100" t="s">
        <v>191</v>
      </c>
      <c r="C7" s="122">
        <f>SUM(C2:C6)</f>
        <v>438035.53</v>
      </c>
    </row>
    <row r="8" spans="1:5" ht="13.5" thickTop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3A7E-72C8-4915-9E06-ED1ECD504B85}">
  <dimension ref="A1:O31"/>
  <sheetViews>
    <sheetView workbookViewId="0">
      <selection activeCell="G28" sqref="G28"/>
    </sheetView>
  </sheetViews>
  <sheetFormatPr defaultRowHeight="12.75" x14ac:dyDescent="0.2"/>
  <cols>
    <col min="1" max="6" width="9.140625" style="263"/>
    <col min="7" max="7" width="10" style="263" bestFit="1" customWidth="1"/>
    <col min="8" max="8" width="9.140625" style="263"/>
    <col min="9" max="9" width="10" style="263" bestFit="1" customWidth="1"/>
    <col min="10" max="10" width="9.140625" style="263"/>
    <col min="11" max="11" width="10" style="263" bestFit="1" customWidth="1"/>
    <col min="12" max="12" width="9.140625" style="263"/>
    <col min="13" max="13" width="10" style="263" bestFit="1" customWidth="1"/>
    <col min="14" max="14" width="9.140625" style="263"/>
    <col min="15" max="15" width="9.7109375" style="263" customWidth="1"/>
    <col min="16" max="16384" width="9.140625" style="263"/>
  </cols>
  <sheetData>
    <row r="1" spans="1:15" ht="18.75" x14ac:dyDescent="0.3">
      <c r="D1" s="153"/>
      <c r="E1" s="153"/>
      <c r="F1" s="153" t="s">
        <v>319</v>
      </c>
      <c r="G1" s="153">
        <v>2023</v>
      </c>
      <c r="H1" s="153"/>
      <c r="I1" s="153">
        <v>2024</v>
      </c>
      <c r="J1" s="153"/>
      <c r="K1" s="153">
        <v>2025</v>
      </c>
      <c r="L1" s="153"/>
      <c r="M1" s="153">
        <v>2026</v>
      </c>
      <c r="N1" s="153"/>
      <c r="O1" s="153">
        <v>2027</v>
      </c>
    </row>
    <row r="2" spans="1:15" ht="18.75" x14ac:dyDescent="0.3">
      <c r="A2" s="154" t="s">
        <v>415</v>
      </c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5" x14ac:dyDescent="0.25">
      <c r="A3" s="155" t="s">
        <v>416</v>
      </c>
      <c r="B3" s="154"/>
      <c r="C3" s="154"/>
      <c r="D3" s="154"/>
      <c r="E3" s="154"/>
      <c r="F3" s="140">
        <v>450000</v>
      </c>
      <c r="G3" s="140">
        <v>90000</v>
      </c>
      <c r="H3" s="140"/>
      <c r="I3" s="140">
        <v>90000</v>
      </c>
      <c r="J3" s="140"/>
      <c r="K3" s="140">
        <v>90000</v>
      </c>
      <c r="L3" s="140"/>
      <c r="M3" s="140">
        <v>90000</v>
      </c>
      <c r="N3" s="140"/>
      <c r="O3" s="140">
        <v>90000</v>
      </c>
    </row>
    <row r="4" spans="1:15" ht="15" x14ac:dyDescent="0.25">
      <c r="A4" s="156" t="s">
        <v>417</v>
      </c>
      <c r="B4" s="120"/>
      <c r="C4" s="120"/>
      <c r="D4" s="120"/>
      <c r="E4" s="120"/>
      <c r="F4" s="140">
        <v>159664.93000000005</v>
      </c>
      <c r="G4" s="157">
        <v>159664.93000000005</v>
      </c>
      <c r="H4" s="157"/>
      <c r="I4" s="157">
        <v>249664.93000000005</v>
      </c>
      <c r="J4" s="157"/>
      <c r="K4" s="157">
        <v>339664.93000000005</v>
      </c>
      <c r="L4" s="157"/>
      <c r="M4" s="157">
        <v>429664.93000000005</v>
      </c>
      <c r="N4" s="157"/>
      <c r="O4" s="157">
        <v>519664.93000000005</v>
      </c>
    </row>
    <row r="5" spans="1:15" ht="15.75" thickBot="1" x14ac:dyDescent="0.3">
      <c r="A5" s="154" t="s">
        <v>288</v>
      </c>
      <c r="F5" s="145">
        <v>609664.93000000005</v>
      </c>
      <c r="G5" s="140">
        <v>249664.93000000005</v>
      </c>
      <c r="H5" s="140"/>
      <c r="I5" s="140">
        <v>339664.93000000005</v>
      </c>
      <c r="J5" s="140"/>
      <c r="K5" s="140">
        <v>429664.93000000005</v>
      </c>
      <c r="L5" s="140"/>
      <c r="M5" s="140">
        <v>519664.93000000005</v>
      </c>
      <c r="N5" s="140"/>
      <c r="O5" s="140">
        <v>609664.93000000005</v>
      </c>
    </row>
    <row r="6" spans="1:15" ht="15.75" thickTop="1" x14ac:dyDescent="0.25">
      <c r="A6" s="154"/>
      <c r="G6" s="140"/>
    </row>
    <row r="7" spans="1:15" ht="15" x14ac:dyDescent="0.25">
      <c r="A7" s="158" t="s">
        <v>418</v>
      </c>
      <c r="B7" s="158"/>
      <c r="C7" s="158"/>
      <c r="D7" s="159" t="s">
        <v>345</v>
      </c>
      <c r="E7" s="159" t="s">
        <v>346</v>
      </c>
      <c r="F7" s="159" t="s">
        <v>319</v>
      </c>
      <c r="G7" s="160" t="s">
        <v>347</v>
      </c>
      <c r="H7" s="161"/>
      <c r="I7" s="160" t="s">
        <v>347</v>
      </c>
      <c r="J7" s="161"/>
      <c r="K7" s="160" t="s">
        <v>347</v>
      </c>
      <c r="L7" s="161"/>
      <c r="M7" s="160" t="s">
        <v>347</v>
      </c>
      <c r="N7" s="161"/>
      <c r="O7" s="160" t="s">
        <v>347</v>
      </c>
    </row>
    <row r="8" spans="1:15" ht="15" x14ac:dyDescent="0.25">
      <c r="A8" s="263" t="s">
        <v>243</v>
      </c>
      <c r="D8" s="162">
        <f>E8-F8</f>
        <v>-25594.07</v>
      </c>
      <c r="E8" s="140">
        <v>0</v>
      </c>
      <c r="F8" s="140">
        <f t="shared" ref="F8:F13" si="0">SUM(G8:O8)</f>
        <v>25594.07</v>
      </c>
      <c r="G8" s="140">
        <f>32499.01-6904.94</f>
        <v>25594.07</v>
      </c>
      <c r="H8" s="140"/>
      <c r="I8" s="140"/>
      <c r="J8" s="140"/>
      <c r="K8" s="140"/>
      <c r="L8" s="140"/>
      <c r="M8" s="140"/>
      <c r="N8" s="163"/>
    </row>
    <row r="9" spans="1:15" ht="15" x14ac:dyDescent="0.25">
      <c r="A9" s="263" t="s">
        <v>413</v>
      </c>
      <c r="D9" s="162">
        <f t="shared" ref="D9:D19" si="1">E9-F9</f>
        <v>-17454.95</v>
      </c>
      <c r="E9" s="140">
        <v>0</v>
      </c>
      <c r="F9" s="140">
        <f t="shared" si="0"/>
        <v>17454.95</v>
      </c>
      <c r="G9" s="140">
        <v>17454.95</v>
      </c>
      <c r="H9" s="140"/>
      <c r="I9" s="140"/>
      <c r="J9" s="140"/>
      <c r="K9" s="140"/>
      <c r="L9" s="140"/>
      <c r="M9" s="140"/>
      <c r="N9" s="163"/>
      <c r="O9" s="140"/>
    </row>
    <row r="10" spans="1:15" ht="15" x14ac:dyDescent="0.25">
      <c r="A10" s="263">
        <v>0</v>
      </c>
      <c r="D10" s="162">
        <f t="shared" si="1"/>
        <v>0</v>
      </c>
      <c r="E10" s="140">
        <v>0</v>
      </c>
      <c r="F10" s="140">
        <f t="shared" si="0"/>
        <v>0</v>
      </c>
      <c r="G10" s="140"/>
      <c r="H10" s="140"/>
      <c r="I10" s="140"/>
      <c r="J10" s="140"/>
      <c r="K10" s="140"/>
      <c r="L10" s="140"/>
      <c r="M10" s="140"/>
      <c r="N10" s="163"/>
    </row>
    <row r="11" spans="1:15" ht="15" x14ac:dyDescent="0.25">
      <c r="A11" s="263">
        <v>0</v>
      </c>
      <c r="D11" s="162">
        <f t="shared" si="1"/>
        <v>0</v>
      </c>
      <c r="E11" s="140">
        <v>0</v>
      </c>
      <c r="F11" s="140">
        <f t="shared" si="0"/>
        <v>0</v>
      </c>
      <c r="G11" s="140"/>
      <c r="H11" s="140"/>
      <c r="I11" s="140"/>
      <c r="J11" s="140"/>
      <c r="K11" s="140"/>
      <c r="L11" s="140"/>
      <c r="M11" s="140"/>
      <c r="N11" s="163"/>
    </row>
    <row r="12" spans="1:15" ht="15" x14ac:dyDescent="0.25">
      <c r="A12" s="263">
        <v>0</v>
      </c>
      <c r="D12" s="162">
        <f t="shared" si="1"/>
        <v>0</v>
      </c>
      <c r="E12" s="140">
        <v>0</v>
      </c>
      <c r="F12" s="140">
        <f t="shared" si="0"/>
        <v>0</v>
      </c>
      <c r="G12" s="140"/>
      <c r="H12" s="140"/>
      <c r="I12" s="140"/>
      <c r="J12" s="140"/>
      <c r="K12" s="140"/>
      <c r="L12" s="140"/>
      <c r="M12" s="140"/>
      <c r="N12" s="163"/>
    </row>
    <row r="13" spans="1:15" ht="15" x14ac:dyDescent="0.25">
      <c r="A13" s="263">
        <v>0</v>
      </c>
      <c r="D13" s="162">
        <f t="shared" si="1"/>
        <v>0</v>
      </c>
      <c r="E13" s="140">
        <v>0</v>
      </c>
      <c r="F13" s="140">
        <f t="shared" si="0"/>
        <v>0</v>
      </c>
      <c r="G13" s="140"/>
      <c r="H13" s="140"/>
      <c r="I13" s="140"/>
      <c r="J13" s="140"/>
      <c r="K13" s="140"/>
      <c r="L13" s="140"/>
      <c r="M13" s="140"/>
      <c r="N13" s="163"/>
    </row>
    <row r="14" spans="1:15" ht="15" x14ac:dyDescent="0.25">
      <c r="F14" s="140"/>
      <c r="G14" s="164"/>
      <c r="H14" s="164"/>
      <c r="I14" s="164"/>
      <c r="J14" s="140"/>
      <c r="K14" s="140"/>
      <c r="L14" s="140"/>
      <c r="M14" s="140"/>
      <c r="N14" s="140"/>
      <c r="O14" s="140"/>
    </row>
    <row r="15" spans="1:15" ht="15" x14ac:dyDescent="0.25">
      <c r="A15" s="158" t="s">
        <v>419</v>
      </c>
      <c r="B15" s="120"/>
      <c r="D15" s="20">
        <f t="shared" si="1"/>
        <v>0</v>
      </c>
      <c r="E15" s="164">
        <f>SUM(E16:E19)</f>
        <v>0</v>
      </c>
      <c r="F15" s="140">
        <f>SUM(G15:O15)</f>
        <v>0</v>
      </c>
      <c r="G15" s="164">
        <f>SUM(G16:G19)</f>
        <v>0</v>
      </c>
      <c r="H15" s="164"/>
      <c r="I15" s="164">
        <f>SUM(I16:I19)</f>
        <v>0</v>
      </c>
      <c r="J15" s="140"/>
      <c r="K15" s="164">
        <f>SUM(K16:K19)</f>
        <v>0</v>
      </c>
      <c r="L15" s="164"/>
      <c r="M15" s="164">
        <f t="shared" ref="M15:O15" si="2">SUM(M16:M19)</f>
        <v>0</v>
      </c>
      <c r="N15" s="164"/>
      <c r="O15" s="164">
        <f t="shared" si="2"/>
        <v>0</v>
      </c>
    </row>
    <row r="16" spans="1:15" ht="15" x14ac:dyDescent="0.25">
      <c r="A16" s="263">
        <v>0</v>
      </c>
      <c r="D16" s="162">
        <f t="shared" si="1"/>
        <v>0</v>
      </c>
      <c r="E16" s="140">
        <v>0</v>
      </c>
      <c r="F16" s="140">
        <f t="shared" ref="F16:F24" si="3">SUM(G16:O16)</f>
        <v>0</v>
      </c>
      <c r="G16" s="140"/>
      <c r="H16" s="140"/>
      <c r="I16" s="140"/>
      <c r="J16" s="140"/>
      <c r="K16" s="140"/>
      <c r="L16" s="140"/>
      <c r="M16" s="140"/>
      <c r="N16" s="163"/>
    </row>
    <row r="17" spans="1:15" ht="15" x14ac:dyDescent="0.25">
      <c r="A17" s="263">
        <v>0</v>
      </c>
      <c r="D17" s="162">
        <f t="shared" si="1"/>
        <v>0</v>
      </c>
      <c r="E17" s="140">
        <v>0</v>
      </c>
      <c r="F17" s="140">
        <f t="shared" si="3"/>
        <v>0</v>
      </c>
      <c r="G17" s="140"/>
      <c r="H17" s="140"/>
      <c r="I17" s="140"/>
      <c r="J17" s="140"/>
      <c r="K17" s="140"/>
      <c r="L17" s="140"/>
      <c r="M17" s="140"/>
      <c r="N17" s="163"/>
    </row>
    <row r="18" spans="1:15" ht="15" x14ac:dyDescent="0.25">
      <c r="A18" s="263">
        <v>0</v>
      </c>
      <c r="D18" s="162">
        <f t="shared" si="1"/>
        <v>0</v>
      </c>
      <c r="E18" s="140">
        <v>0</v>
      </c>
      <c r="F18" s="140">
        <f t="shared" si="3"/>
        <v>0</v>
      </c>
      <c r="G18" s="140"/>
      <c r="H18" s="140"/>
      <c r="I18" s="140"/>
      <c r="J18" s="140"/>
      <c r="K18" s="140"/>
      <c r="L18" s="140"/>
      <c r="M18" s="140"/>
      <c r="N18" s="163"/>
    </row>
    <row r="19" spans="1:15" ht="15" x14ac:dyDescent="0.25">
      <c r="A19" s="263">
        <v>0</v>
      </c>
      <c r="D19" s="162">
        <f t="shared" si="1"/>
        <v>0</v>
      </c>
      <c r="E19" s="140">
        <v>0</v>
      </c>
      <c r="F19" s="140">
        <f t="shared" si="3"/>
        <v>0</v>
      </c>
      <c r="G19" s="140"/>
      <c r="H19" s="140"/>
      <c r="I19" s="140"/>
      <c r="J19" s="140"/>
      <c r="K19" s="140"/>
      <c r="L19" s="140"/>
      <c r="M19" s="140"/>
      <c r="N19" s="163"/>
    </row>
    <row r="20" spans="1:15" x14ac:dyDescent="0.2">
      <c r="D20" s="165"/>
      <c r="E20" s="165"/>
      <c r="F20" s="162"/>
      <c r="G20" s="166"/>
      <c r="H20" s="166"/>
      <c r="I20" s="166"/>
      <c r="J20" s="162"/>
      <c r="K20" s="162"/>
      <c r="L20" s="162"/>
      <c r="M20" s="162"/>
      <c r="N20" s="162"/>
      <c r="O20" s="162"/>
    </row>
    <row r="21" spans="1:15" ht="15" x14ac:dyDescent="0.25">
      <c r="A21" s="158" t="s">
        <v>420</v>
      </c>
      <c r="B21" s="120"/>
      <c r="D21" s="20">
        <f>E21-F21</f>
        <v>0</v>
      </c>
      <c r="E21" s="164">
        <f>SUM(E22:E24)</f>
        <v>0</v>
      </c>
      <c r="F21" s="140">
        <f>SUM(G21:O21)</f>
        <v>0</v>
      </c>
      <c r="G21" s="164">
        <f>SUM(G22:G24)</f>
        <v>0</v>
      </c>
      <c r="H21" s="164"/>
      <c r="I21" s="164">
        <f t="shared" ref="I21:O21" si="4">SUM(I22:I24)</f>
        <v>0</v>
      </c>
      <c r="J21" s="164"/>
      <c r="K21" s="164">
        <f t="shared" si="4"/>
        <v>0</v>
      </c>
      <c r="L21" s="164"/>
      <c r="M21" s="164">
        <f t="shared" si="4"/>
        <v>0</v>
      </c>
      <c r="N21" s="164"/>
      <c r="O21" s="164">
        <f t="shared" si="4"/>
        <v>0</v>
      </c>
    </row>
    <row r="22" spans="1:15" ht="15" x14ac:dyDescent="0.25">
      <c r="A22" s="263">
        <v>0</v>
      </c>
      <c r="D22" s="162">
        <f t="shared" ref="D22:D24" si="5">E22-F22</f>
        <v>0</v>
      </c>
      <c r="E22" s="140">
        <v>0</v>
      </c>
      <c r="F22" s="140">
        <f t="shared" ref="F22" si="6">SUM(G22:O22)</f>
        <v>0</v>
      </c>
      <c r="G22" s="140"/>
      <c r="H22" s="140"/>
      <c r="I22" s="140"/>
      <c r="J22" s="140"/>
      <c r="K22" s="140"/>
      <c r="L22" s="140"/>
      <c r="M22" s="140"/>
      <c r="N22" s="163"/>
    </row>
    <row r="23" spans="1:15" ht="15" x14ac:dyDescent="0.25">
      <c r="A23" s="263">
        <v>0</v>
      </c>
      <c r="D23" s="162">
        <f t="shared" si="5"/>
        <v>0</v>
      </c>
      <c r="E23" s="140">
        <v>0</v>
      </c>
      <c r="F23" s="140">
        <f t="shared" si="3"/>
        <v>0</v>
      </c>
      <c r="G23" s="140"/>
      <c r="H23" s="140"/>
      <c r="I23" s="140"/>
      <c r="J23" s="140"/>
      <c r="K23" s="140"/>
      <c r="L23" s="140"/>
      <c r="M23" s="140"/>
      <c r="N23" s="163"/>
    </row>
    <row r="24" spans="1:15" ht="15" x14ac:dyDescent="0.25">
      <c r="A24" s="120">
        <v>0</v>
      </c>
      <c r="B24" s="120"/>
      <c r="C24" s="120"/>
      <c r="D24" s="167">
        <f t="shared" si="5"/>
        <v>0</v>
      </c>
      <c r="E24" s="157">
        <v>0</v>
      </c>
      <c r="F24" s="157">
        <f t="shared" si="3"/>
        <v>0</v>
      </c>
      <c r="G24" s="157"/>
      <c r="H24" s="157"/>
      <c r="I24" s="157"/>
      <c r="J24" s="157"/>
      <c r="K24" s="157"/>
      <c r="L24" s="157"/>
      <c r="M24" s="157"/>
      <c r="N24" s="168"/>
      <c r="O24" s="120"/>
    </row>
    <row r="25" spans="1:15" ht="15" x14ac:dyDescent="0.25">
      <c r="D25" s="20"/>
      <c r="E25" s="20"/>
      <c r="F25" s="140"/>
      <c r="G25" s="164"/>
      <c r="H25" s="164"/>
      <c r="I25" s="164"/>
      <c r="J25" s="140"/>
      <c r="K25" s="140"/>
      <c r="L25" s="140"/>
      <c r="M25" s="140"/>
      <c r="N25" s="140"/>
      <c r="O25" s="140"/>
    </row>
    <row r="26" spans="1:15" ht="15" x14ac:dyDescent="0.25">
      <c r="A26" s="154" t="s">
        <v>348</v>
      </c>
      <c r="B26" s="154"/>
      <c r="D26" s="20">
        <f>SUM(D8:D13)+D15+D21</f>
        <v>-43049.020000000004</v>
      </c>
      <c r="E26" s="20">
        <f>SUM(E8:E13)+E15+E21</f>
        <v>0</v>
      </c>
      <c r="F26" s="20">
        <f>SUM(F8:F13)+F15+F21</f>
        <v>43049.020000000004</v>
      </c>
      <c r="G26" s="20">
        <f>SUM(G8:G13)+G15+G21</f>
        <v>43049.020000000004</v>
      </c>
      <c r="H26" s="20"/>
      <c r="I26" s="20">
        <f>SUM(I8:I13)+I15+I21</f>
        <v>0</v>
      </c>
      <c r="J26" s="20"/>
      <c r="K26" s="20">
        <f>SUM(K8:K13)+K15+K21</f>
        <v>0</v>
      </c>
      <c r="L26" s="20"/>
      <c r="M26" s="20">
        <f>SUM(M8:M13)+M15+M21</f>
        <v>0</v>
      </c>
      <c r="N26" s="20"/>
      <c r="O26" s="20">
        <f>SUM(O8:O13)+O15+O21</f>
        <v>0</v>
      </c>
    </row>
    <row r="27" spans="1:15" s="169" customFormat="1" ht="12" x14ac:dyDescent="0.2"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1:15" s="154" customFormat="1" ht="15" x14ac:dyDescent="0.25">
      <c r="A28" s="154" t="s">
        <v>349</v>
      </c>
      <c r="G28" s="140">
        <f>G5-SUM($G$26:G26)</f>
        <v>206615.91000000003</v>
      </c>
      <c r="I28" s="140">
        <f>I5-SUM($G$26:I26)</f>
        <v>296615.91000000003</v>
      </c>
      <c r="K28" s="140">
        <f>K5-SUM($G$26:K26)</f>
        <v>386615.91000000003</v>
      </c>
      <c r="M28" s="140">
        <f>M5-SUM($G$26:M26)</f>
        <v>476615.91000000003</v>
      </c>
      <c r="O28" s="140">
        <f>O5-SUM($G$26:O26)</f>
        <v>566615.91</v>
      </c>
    </row>
    <row r="31" spans="1:15" x14ac:dyDescent="0.2">
      <c r="B31" s="2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72F2-38A4-4987-8B76-9A36C4BAAB1E}">
  <dimension ref="A1:AD1001"/>
  <sheetViews>
    <sheetView topLeftCell="A36" workbookViewId="0">
      <selection activeCell="P3" sqref="P3"/>
    </sheetView>
  </sheetViews>
  <sheetFormatPr defaultColWidth="13" defaultRowHeight="12.75" x14ac:dyDescent="0.2"/>
  <cols>
    <col min="1" max="1" width="14.42578125" style="172" customWidth="1"/>
    <col min="2" max="2" width="24.42578125" style="172" customWidth="1"/>
    <col min="3" max="16" width="12.5703125" style="172" customWidth="1"/>
    <col min="17" max="17" width="7" style="172" customWidth="1"/>
    <col min="18" max="18" width="15.140625" style="172" customWidth="1"/>
    <col min="19" max="27" width="12.5703125" style="172" customWidth="1"/>
    <col min="28" max="28" width="13.28515625" style="172" customWidth="1"/>
    <col min="29" max="30" width="12.5703125" style="172" customWidth="1"/>
    <col min="31" max="16384" width="13" style="172"/>
  </cols>
  <sheetData>
    <row r="1" spans="1:30" ht="33.75" x14ac:dyDescent="0.5">
      <c r="A1" s="173" t="s">
        <v>353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</row>
    <row r="2" spans="1:30" ht="31.5" x14ac:dyDescent="0.25">
      <c r="A2" s="176" t="s">
        <v>354</v>
      </c>
      <c r="B2" s="174" t="s">
        <v>355</v>
      </c>
      <c r="C2" s="177" t="s">
        <v>356</v>
      </c>
      <c r="D2" s="177" t="s">
        <v>357</v>
      </c>
      <c r="E2" s="177" t="s">
        <v>358</v>
      </c>
      <c r="F2" s="177">
        <v>1664</v>
      </c>
      <c r="G2" s="177" t="s">
        <v>359</v>
      </c>
      <c r="H2" s="177" t="s">
        <v>360</v>
      </c>
      <c r="I2" s="177" t="s">
        <v>361</v>
      </c>
      <c r="J2" s="177" t="s">
        <v>362</v>
      </c>
      <c r="K2" s="177" t="s">
        <v>363</v>
      </c>
      <c r="L2" s="177" t="s">
        <v>364</v>
      </c>
      <c r="M2" s="177" t="s">
        <v>365</v>
      </c>
      <c r="N2" s="177" t="s">
        <v>366</v>
      </c>
      <c r="O2" s="177" t="s">
        <v>367</v>
      </c>
      <c r="P2" s="177" t="s">
        <v>368</v>
      </c>
      <c r="Q2" s="178"/>
      <c r="R2" s="179" t="s">
        <v>369</v>
      </c>
      <c r="S2" s="177" t="str">
        <f t="shared" ref="S2:AD2" si="0">C2</f>
        <v xml:space="preserve">Grøn Tub </v>
      </c>
      <c r="T2" s="177" t="str">
        <f t="shared" si="0"/>
        <v>Classic</v>
      </c>
      <c r="U2" s="177" t="str">
        <f t="shared" si="0"/>
        <v>Carlsberg Hof</v>
      </c>
      <c r="V2" s="177">
        <f t="shared" si="0"/>
        <v>1664</v>
      </c>
      <c r="W2" s="177" t="str">
        <f t="shared" si="0"/>
        <v>Andre</v>
      </c>
      <c r="X2" s="177" t="str">
        <f t="shared" si="0"/>
        <v>Kulsyre , 6 kg</v>
      </c>
      <c r="Y2" s="177" t="str">
        <f t="shared" si="0"/>
        <v>Kulsyre 10 kg</v>
      </c>
      <c r="Z2" s="177" t="str">
        <f t="shared" si="0"/>
        <v>kul emb - 6 kg</v>
      </c>
      <c r="AA2" s="177" t="str">
        <f t="shared" si="0"/>
        <v>kul emb - 10 kg</v>
      </c>
      <c r="AB2" s="177" t="str">
        <f t="shared" si="0"/>
        <v>Øl emb. Tom</v>
      </c>
      <c r="AC2" s="177" t="str">
        <f t="shared" si="0"/>
        <v>Øl emb Fuld</v>
      </c>
      <c r="AD2" s="177" t="str">
        <f t="shared" si="0"/>
        <v>Euro palle</v>
      </c>
    </row>
    <row r="3" spans="1:30" s="190" customFormat="1" ht="15" x14ac:dyDescent="0.2">
      <c r="A3" s="180">
        <v>44927</v>
      </c>
      <c r="B3" s="181" t="s">
        <v>370</v>
      </c>
      <c r="C3" s="182">
        <v>3</v>
      </c>
      <c r="D3" s="182">
        <v>3</v>
      </c>
      <c r="E3" s="182"/>
      <c r="F3" s="182"/>
      <c r="G3" s="182"/>
      <c r="H3" s="182">
        <v>1</v>
      </c>
      <c r="I3" s="182"/>
      <c r="J3" s="182">
        <v>4</v>
      </c>
      <c r="K3" s="182"/>
      <c r="L3" s="182">
        <v>9</v>
      </c>
      <c r="M3" s="183">
        <f t="shared" ref="M3" si="1">SUM(C3:G3)</f>
        <v>6</v>
      </c>
      <c r="N3" s="184"/>
      <c r="O3" s="185"/>
      <c r="P3" s="186">
        <f>1.25*SUMPRODUCT(C3:N3,S3:AD3)</f>
        <v>10991.925000000001</v>
      </c>
      <c r="Q3" s="187"/>
      <c r="R3" s="188"/>
      <c r="S3" s="189">
        <v>540.42999999999995</v>
      </c>
      <c r="T3" s="189">
        <v>626.41</v>
      </c>
      <c r="U3" s="189">
        <v>0</v>
      </c>
      <c r="V3" s="189">
        <v>0</v>
      </c>
      <c r="W3" s="189">
        <v>0</v>
      </c>
      <c r="X3" s="189">
        <v>333.02</v>
      </c>
      <c r="Y3" s="189">
        <v>0</v>
      </c>
      <c r="Z3" s="189">
        <v>640</v>
      </c>
      <c r="AA3" s="189">
        <v>0</v>
      </c>
      <c r="AB3" s="189">
        <v>160</v>
      </c>
      <c r="AC3" s="189">
        <v>160</v>
      </c>
      <c r="AD3" s="189">
        <v>65</v>
      </c>
    </row>
    <row r="4" spans="1:30" ht="15" x14ac:dyDescent="0.2">
      <c r="A4" s="191"/>
      <c r="B4" s="192" t="s">
        <v>371</v>
      </c>
      <c r="C4" s="193">
        <f t="shared" ref="C4:K4" si="2">C3+C23-C57</f>
        <v>3</v>
      </c>
      <c r="D4" s="193">
        <f t="shared" si="2"/>
        <v>2</v>
      </c>
      <c r="E4" s="193">
        <f t="shared" si="2"/>
        <v>0</v>
      </c>
      <c r="F4" s="193">
        <f t="shared" si="2"/>
        <v>0</v>
      </c>
      <c r="G4" s="193">
        <f t="shared" si="2"/>
        <v>0</v>
      </c>
      <c r="H4" s="193">
        <f t="shared" si="2"/>
        <v>4</v>
      </c>
      <c r="I4" s="193">
        <f t="shared" si="2"/>
        <v>0</v>
      </c>
      <c r="J4" s="193">
        <f t="shared" si="2"/>
        <v>3</v>
      </c>
      <c r="K4" s="193">
        <f t="shared" si="2"/>
        <v>0</v>
      </c>
      <c r="L4" s="193">
        <f>L3+L23</f>
        <v>-21</v>
      </c>
      <c r="M4" s="194">
        <f t="shared" ref="M4" si="3">SUM(C4:G4)</f>
        <v>5</v>
      </c>
      <c r="N4" s="194"/>
      <c r="O4" s="195"/>
      <c r="P4" s="196">
        <f t="shared" ref="P4:P5" si="4">1.25*SUMPRODUCT(C4:N4,S4:AD4)</f>
        <v>5100.8374999999996</v>
      </c>
      <c r="Q4" s="178"/>
      <c r="R4" s="178"/>
      <c r="S4" s="86">
        <f>S5</f>
        <v>584.47</v>
      </c>
      <c r="T4" s="86">
        <f t="shared" ref="T4:AD4" si="5">T5</f>
        <v>677.47</v>
      </c>
      <c r="U4" s="86">
        <f t="shared" si="5"/>
        <v>0</v>
      </c>
      <c r="V4" s="86">
        <f t="shared" si="5"/>
        <v>699.66</v>
      </c>
      <c r="W4" s="86">
        <f t="shared" si="5"/>
        <v>0</v>
      </c>
      <c r="X4" s="86">
        <f t="shared" si="5"/>
        <v>403.08</v>
      </c>
      <c r="Y4" s="86">
        <f t="shared" si="5"/>
        <v>0</v>
      </c>
      <c r="Z4" s="86">
        <f t="shared" si="5"/>
        <v>640</v>
      </c>
      <c r="AA4" s="86">
        <f t="shared" si="5"/>
        <v>0</v>
      </c>
      <c r="AB4" s="86">
        <f t="shared" si="5"/>
        <v>160</v>
      </c>
      <c r="AC4" s="86">
        <f t="shared" si="5"/>
        <v>160</v>
      </c>
      <c r="AD4" s="86">
        <f t="shared" si="5"/>
        <v>65</v>
      </c>
    </row>
    <row r="5" spans="1:30" ht="15" x14ac:dyDescent="0.2">
      <c r="A5" s="180">
        <v>45292</v>
      </c>
      <c r="B5" s="197" t="s">
        <v>372</v>
      </c>
      <c r="C5" s="182">
        <v>3</v>
      </c>
      <c r="D5" s="182">
        <v>2</v>
      </c>
      <c r="E5" s="182"/>
      <c r="F5" s="182">
        <v>0</v>
      </c>
      <c r="G5" s="182"/>
      <c r="H5" s="182">
        <v>1</v>
      </c>
      <c r="I5" s="182"/>
      <c r="J5" s="182">
        <v>3</v>
      </c>
      <c r="K5" s="182"/>
      <c r="L5" s="182">
        <v>4</v>
      </c>
      <c r="M5" s="183">
        <v>5</v>
      </c>
      <c r="N5" s="182"/>
      <c r="O5" s="198" t="s">
        <v>221</v>
      </c>
      <c r="P5" s="199">
        <f t="shared" si="4"/>
        <v>8589.2875000000004</v>
      </c>
      <c r="Q5" s="174"/>
      <c r="R5" s="174"/>
      <c r="S5" s="86">
        <f>MAX(S13:S19)</f>
        <v>584.47</v>
      </c>
      <c r="T5" s="86">
        <f t="shared" ref="T5:AD5" si="6">MAX(T13:T19)</f>
        <v>677.47</v>
      </c>
      <c r="U5" s="86">
        <f t="shared" si="6"/>
        <v>0</v>
      </c>
      <c r="V5" s="86">
        <f t="shared" si="6"/>
        <v>699.66</v>
      </c>
      <c r="W5" s="86">
        <f t="shared" si="6"/>
        <v>0</v>
      </c>
      <c r="X5" s="86">
        <f t="shared" si="6"/>
        <v>403.08</v>
      </c>
      <c r="Y5" s="86">
        <f t="shared" si="6"/>
        <v>0</v>
      </c>
      <c r="Z5" s="86">
        <f t="shared" si="6"/>
        <v>640</v>
      </c>
      <c r="AA5" s="86">
        <f t="shared" si="6"/>
        <v>0</v>
      </c>
      <c r="AB5" s="86">
        <f t="shared" si="6"/>
        <v>160</v>
      </c>
      <c r="AC5" s="86">
        <f t="shared" si="6"/>
        <v>160</v>
      </c>
      <c r="AD5" s="86">
        <f t="shared" si="6"/>
        <v>65</v>
      </c>
    </row>
    <row r="6" spans="1:30" ht="16.5" thickBot="1" x14ac:dyDescent="0.3">
      <c r="A6" s="200"/>
      <c r="B6" s="174" t="s">
        <v>373</v>
      </c>
      <c r="C6" s="174">
        <f t="shared" ref="C6:N6" si="7">C5-C3</f>
        <v>0</v>
      </c>
      <c r="D6" s="174">
        <f t="shared" si="7"/>
        <v>-1</v>
      </c>
      <c r="E6" s="174">
        <f t="shared" si="7"/>
        <v>0</v>
      </c>
      <c r="F6" s="174">
        <f t="shared" si="7"/>
        <v>0</v>
      </c>
      <c r="G6" s="174">
        <f t="shared" si="7"/>
        <v>0</v>
      </c>
      <c r="H6" s="174">
        <f t="shared" si="7"/>
        <v>0</v>
      </c>
      <c r="I6" s="174">
        <f t="shared" si="7"/>
        <v>0</v>
      </c>
      <c r="J6" s="174">
        <f t="shared" si="7"/>
        <v>-1</v>
      </c>
      <c r="K6" s="174">
        <f t="shared" si="7"/>
        <v>0</v>
      </c>
      <c r="L6" s="174">
        <f t="shared" si="7"/>
        <v>-5</v>
      </c>
      <c r="M6" s="174">
        <f t="shared" si="7"/>
        <v>-1</v>
      </c>
      <c r="N6" s="174">
        <f t="shared" si="7"/>
        <v>0</v>
      </c>
      <c r="O6" s="174"/>
      <c r="P6" s="201">
        <f>P5-P3</f>
        <v>-2402.6375000000007</v>
      </c>
      <c r="Q6" s="174"/>
      <c r="R6" s="200" t="s">
        <v>374</v>
      </c>
      <c r="S6" s="86">
        <f t="shared" ref="S6:AD6" si="8">S5*1.25</f>
        <v>730.58750000000009</v>
      </c>
      <c r="T6" s="86">
        <f t="shared" si="8"/>
        <v>846.83750000000009</v>
      </c>
      <c r="U6" s="86">
        <f t="shared" si="8"/>
        <v>0</v>
      </c>
      <c r="V6" s="86">
        <f t="shared" si="8"/>
        <v>874.57499999999993</v>
      </c>
      <c r="W6" s="86">
        <f t="shared" si="8"/>
        <v>0</v>
      </c>
      <c r="X6" s="86">
        <f t="shared" si="8"/>
        <v>503.84999999999997</v>
      </c>
      <c r="Y6" s="86">
        <f t="shared" si="8"/>
        <v>0</v>
      </c>
      <c r="Z6" s="86">
        <f t="shared" si="8"/>
        <v>800</v>
      </c>
      <c r="AA6" s="86">
        <f t="shared" si="8"/>
        <v>0</v>
      </c>
      <c r="AB6" s="86">
        <f t="shared" si="8"/>
        <v>200</v>
      </c>
      <c r="AC6" s="86">
        <f t="shared" si="8"/>
        <v>200</v>
      </c>
      <c r="AD6" s="86">
        <f t="shared" si="8"/>
        <v>81.25</v>
      </c>
    </row>
    <row r="7" spans="1:30" ht="16.5" thickTop="1" x14ac:dyDescent="0.25">
      <c r="A7" s="200"/>
      <c r="B7" s="174" t="s">
        <v>375</v>
      </c>
      <c r="C7" s="174">
        <f t="shared" ref="C7:M7" si="9">+C23-C57</f>
        <v>0</v>
      </c>
      <c r="D7" s="174">
        <f t="shared" si="9"/>
        <v>-1</v>
      </c>
      <c r="E7" s="174">
        <f t="shared" si="9"/>
        <v>0</v>
      </c>
      <c r="F7" s="174">
        <f t="shared" si="9"/>
        <v>0</v>
      </c>
      <c r="G7" s="174">
        <f t="shared" si="9"/>
        <v>0</v>
      </c>
      <c r="H7" s="174">
        <f t="shared" si="9"/>
        <v>3</v>
      </c>
      <c r="I7" s="174">
        <f t="shared" si="9"/>
        <v>0</v>
      </c>
      <c r="J7" s="174">
        <f t="shared" si="9"/>
        <v>-1</v>
      </c>
      <c r="K7" s="174">
        <f t="shared" si="9"/>
        <v>0</v>
      </c>
      <c r="L7" s="174">
        <f t="shared" si="9"/>
        <v>-30</v>
      </c>
      <c r="M7" s="174">
        <f t="shared" si="9"/>
        <v>24</v>
      </c>
      <c r="N7" s="174"/>
      <c r="O7" s="174"/>
      <c r="P7" s="202"/>
      <c r="Q7" s="174"/>
      <c r="R7" s="200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</row>
    <row r="8" spans="1:30" ht="15.75" x14ac:dyDescent="0.25">
      <c r="A8" s="200"/>
      <c r="B8" s="174" t="s">
        <v>376</v>
      </c>
      <c r="C8" s="174">
        <f t="shared" ref="C8:M8" si="10">C7-C6</f>
        <v>0</v>
      </c>
      <c r="D8" s="174">
        <f t="shared" si="10"/>
        <v>0</v>
      </c>
      <c r="E8" s="174">
        <f t="shared" si="10"/>
        <v>0</v>
      </c>
      <c r="F8" s="174">
        <f t="shared" si="10"/>
        <v>0</v>
      </c>
      <c r="G8" s="174">
        <f t="shared" si="10"/>
        <v>0</v>
      </c>
      <c r="H8" s="174">
        <f t="shared" si="10"/>
        <v>3</v>
      </c>
      <c r="I8" s="174">
        <f t="shared" si="10"/>
        <v>0</v>
      </c>
      <c r="J8" s="174">
        <f t="shared" si="10"/>
        <v>0</v>
      </c>
      <c r="K8" s="174">
        <f t="shared" si="10"/>
        <v>0</v>
      </c>
      <c r="L8" s="174">
        <f t="shared" si="10"/>
        <v>-25</v>
      </c>
      <c r="M8" s="174">
        <f t="shared" si="10"/>
        <v>25</v>
      </c>
      <c r="N8" s="174"/>
      <c r="O8" s="174"/>
      <c r="P8" s="204">
        <f>1.25*SUMPRODUCT(C8:N8,$S$5:$AD$5)</f>
        <v>1511.5499999999997</v>
      </c>
      <c r="Q8" s="174"/>
      <c r="R8" s="200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</row>
    <row r="9" spans="1:30" ht="15.75" x14ac:dyDescent="0.25">
      <c r="A9" s="200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202"/>
      <c r="Q9" s="174"/>
      <c r="R9" s="200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</row>
    <row r="10" spans="1:30" ht="15.75" x14ac:dyDescent="0.25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2"/>
      <c r="Q10" s="174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</row>
    <row r="11" spans="1:30" ht="20.25" customHeight="1" x14ac:dyDescent="0.2">
      <c r="A11" s="205" t="s">
        <v>377</v>
      </c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6"/>
      <c r="P11" s="208"/>
      <c r="Q11" s="209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</row>
    <row r="12" spans="1:30" ht="39.75" customHeight="1" x14ac:dyDescent="0.25">
      <c r="A12" s="210" t="s">
        <v>354</v>
      </c>
      <c r="B12" s="211" t="s">
        <v>378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3"/>
      <c r="P12" s="214"/>
      <c r="Q12" s="215"/>
      <c r="R12" s="216" t="s">
        <v>379</v>
      </c>
      <c r="S12" s="177" t="str">
        <f>S2</f>
        <v xml:space="preserve">Grøn Tub </v>
      </c>
      <c r="T12" s="177" t="str">
        <f t="shared" ref="T12:AD13" si="11">T2</f>
        <v>Classic</v>
      </c>
      <c r="U12" s="177" t="str">
        <f t="shared" si="11"/>
        <v>Carlsberg Hof</v>
      </c>
      <c r="V12" s="177">
        <f t="shared" si="11"/>
        <v>1664</v>
      </c>
      <c r="W12" s="177" t="str">
        <f t="shared" si="11"/>
        <v>Andre</v>
      </c>
      <c r="X12" s="177" t="str">
        <f t="shared" si="11"/>
        <v>Kulsyre , 6 kg</v>
      </c>
      <c r="Y12" s="177" t="str">
        <f t="shared" si="11"/>
        <v>Kulsyre 10 kg</v>
      </c>
      <c r="Z12" s="177" t="str">
        <f t="shared" si="11"/>
        <v>kul emb - 6 kg</v>
      </c>
      <c r="AA12" s="177" t="str">
        <f t="shared" si="11"/>
        <v>kul emb - 10 kg</v>
      </c>
      <c r="AB12" s="177" t="str">
        <f t="shared" si="11"/>
        <v>Øl emb. Tom</v>
      </c>
      <c r="AC12" s="177" t="str">
        <f t="shared" si="11"/>
        <v>Øl emb Fuld</v>
      </c>
      <c r="AD12" s="177" t="str">
        <f t="shared" si="11"/>
        <v>Euro palle</v>
      </c>
    </row>
    <row r="13" spans="1:30" s="190" customFormat="1" ht="15" x14ac:dyDescent="0.2">
      <c r="A13" s="217"/>
      <c r="B13" s="218" t="s">
        <v>380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6"/>
      <c r="P13" s="196"/>
      <c r="Q13" s="174"/>
      <c r="R13" s="204"/>
      <c r="S13" s="86">
        <f>S3</f>
        <v>540.42999999999995</v>
      </c>
      <c r="T13" s="86">
        <f t="shared" si="11"/>
        <v>626.41</v>
      </c>
      <c r="U13" s="86">
        <f t="shared" si="11"/>
        <v>0</v>
      </c>
      <c r="V13" s="86">
        <f t="shared" si="11"/>
        <v>0</v>
      </c>
      <c r="W13" s="86">
        <f t="shared" si="11"/>
        <v>0</v>
      </c>
      <c r="X13" s="86">
        <f t="shared" si="11"/>
        <v>333.02</v>
      </c>
      <c r="Y13" s="86">
        <f t="shared" si="11"/>
        <v>0</v>
      </c>
      <c r="Z13" s="86">
        <f t="shared" si="11"/>
        <v>640</v>
      </c>
      <c r="AA13" s="86">
        <f t="shared" si="11"/>
        <v>0</v>
      </c>
      <c r="AB13" s="86">
        <f t="shared" si="11"/>
        <v>160</v>
      </c>
      <c r="AC13" s="86">
        <f t="shared" si="11"/>
        <v>160</v>
      </c>
      <c r="AD13" s="86">
        <f t="shared" si="11"/>
        <v>65</v>
      </c>
    </row>
    <row r="14" spans="1:30" s="190" customFormat="1" ht="15" x14ac:dyDescent="0.2">
      <c r="A14" s="180">
        <v>45085</v>
      </c>
      <c r="B14" s="219">
        <v>914256799</v>
      </c>
      <c r="C14" s="220">
        <v>2</v>
      </c>
      <c r="D14" s="220">
        <v>4</v>
      </c>
      <c r="E14" s="220"/>
      <c r="F14" s="220"/>
      <c r="G14" s="220"/>
      <c r="H14" s="220"/>
      <c r="I14" s="220"/>
      <c r="J14" s="220"/>
      <c r="K14" s="220"/>
      <c r="L14" s="220">
        <v>-13</v>
      </c>
      <c r="M14" s="220">
        <v>6</v>
      </c>
      <c r="N14" s="220"/>
      <c r="O14" s="185"/>
      <c r="P14" s="186">
        <f>1.25*SUMPRODUCT(C14:N14,S14:AD14)</f>
        <v>3448.5250000000001</v>
      </c>
      <c r="Q14" s="188"/>
      <c r="R14" s="221"/>
      <c r="S14" s="189">
        <v>584.47</v>
      </c>
      <c r="T14" s="189">
        <v>677.47</v>
      </c>
      <c r="U14" s="189"/>
      <c r="V14" s="189"/>
      <c r="W14" s="189"/>
      <c r="X14" s="189"/>
      <c r="Y14" s="189"/>
      <c r="Z14" s="189"/>
      <c r="AA14" s="189"/>
      <c r="AB14" s="189">
        <v>160</v>
      </c>
      <c r="AC14" s="189">
        <v>160</v>
      </c>
      <c r="AD14" s="189"/>
    </row>
    <row r="15" spans="1:30" s="190" customFormat="1" ht="15" x14ac:dyDescent="0.2">
      <c r="A15" s="180">
        <v>45099</v>
      </c>
      <c r="B15" s="219">
        <v>914283332</v>
      </c>
      <c r="C15" s="220">
        <v>2</v>
      </c>
      <c r="D15" s="220">
        <v>1</v>
      </c>
      <c r="E15" s="220"/>
      <c r="F15" s="220">
        <v>1</v>
      </c>
      <c r="G15" s="220"/>
      <c r="H15" s="220"/>
      <c r="I15" s="220"/>
      <c r="J15" s="220"/>
      <c r="K15" s="220"/>
      <c r="L15" s="220"/>
      <c r="M15" s="220">
        <v>4</v>
      </c>
      <c r="N15" s="220"/>
      <c r="O15" s="185"/>
      <c r="P15" s="186">
        <f>1.25*SUMPRODUCT(C15:N15,S15:AD15)</f>
        <v>3982.5875000000001</v>
      </c>
      <c r="Q15" s="188"/>
      <c r="R15" s="221"/>
      <c r="S15" s="189">
        <v>584.47</v>
      </c>
      <c r="T15" s="189">
        <v>677.47</v>
      </c>
      <c r="U15" s="189"/>
      <c r="V15" s="189">
        <v>699.66</v>
      </c>
      <c r="W15" s="189"/>
      <c r="X15" s="189"/>
      <c r="Y15" s="189"/>
      <c r="Z15" s="189"/>
      <c r="AA15" s="189"/>
      <c r="AB15" s="189">
        <v>160</v>
      </c>
      <c r="AC15" s="189">
        <v>160</v>
      </c>
      <c r="AD15" s="189"/>
    </row>
    <row r="16" spans="1:30" s="190" customFormat="1" ht="15.75" customHeight="1" x14ac:dyDescent="0.2">
      <c r="A16" s="180">
        <v>45120</v>
      </c>
      <c r="B16" s="219">
        <v>914320465</v>
      </c>
      <c r="C16" s="220"/>
      <c r="D16" s="220">
        <v>1</v>
      </c>
      <c r="E16" s="220"/>
      <c r="F16" s="220">
        <v>-1</v>
      </c>
      <c r="G16" s="220"/>
      <c r="H16" s="220">
        <v>1</v>
      </c>
      <c r="I16" s="220"/>
      <c r="J16" s="220">
        <v>1</v>
      </c>
      <c r="K16" s="220"/>
      <c r="L16" s="220"/>
      <c r="M16" s="220">
        <v>1</v>
      </c>
      <c r="N16" s="220"/>
      <c r="O16" s="185"/>
      <c r="P16" s="186">
        <f t="shared" ref="P16:P18" si="12">1.25*SUMPRODUCT(C16:N16,S16:AD16)</f>
        <v>1503.85</v>
      </c>
      <c r="Q16" s="188"/>
      <c r="R16" s="221"/>
      <c r="S16" s="189"/>
      <c r="T16" s="189">
        <v>0</v>
      </c>
      <c r="U16" s="189"/>
      <c r="V16" s="189">
        <v>0</v>
      </c>
      <c r="W16" s="189"/>
      <c r="X16" s="189">
        <v>403.08</v>
      </c>
      <c r="Y16" s="189"/>
      <c r="Z16" s="189">
        <v>640</v>
      </c>
      <c r="AA16" s="189"/>
      <c r="AB16" s="189"/>
      <c r="AC16" s="189">
        <v>160</v>
      </c>
      <c r="AD16" s="189"/>
    </row>
    <row r="17" spans="1:30" s="190" customFormat="1" ht="15.75" customHeight="1" x14ac:dyDescent="0.25">
      <c r="A17" s="180">
        <v>45155</v>
      </c>
      <c r="B17" s="222">
        <v>914374894</v>
      </c>
      <c r="C17" s="220">
        <v>3</v>
      </c>
      <c r="D17" s="220">
        <v>4</v>
      </c>
      <c r="E17" s="220"/>
      <c r="F17" s="220"/>
      <c r="G17" s="220"/>
      <c r="H17" s="220"/>
      <c r="I17" s="220"/>
      <c r="J17" s="220"/>
      <c r="K17" s="220"/>
      <c r="L17" s="220">
        <v>-12</v>
      </c>
      <c r="M17" s="220">
        <v>7</v>
      </c>
      <c r="N17" s="220"/>
      <c r="O17" s="185"/>
      <c r="P17" s="186">
        <f t="shared" si="12"/>
        <v>4579.1125000000002</v>
      </c>
      <c r="Q17" s="188"/>
      <c r="R17" s="221"/>
      <c r="S17" s="189">
        <v>584.47</v>
      </c>
      <c r="T17" s="189">
        <v>677.47</v>
      </c>
      <c r="U17" s="189"/>
      <c r="V17" s="189"/>
      <c r="W17" s="189"/>
      <c r="X17" s="189"/>
      <c r="Y17" s="189"/>
      <c r="Z17" s="189"/>
      <c r="AA17" s="189"/>
      <c r="AB17" s="189">
        <v>160</v>
      </c>
      <c r="AC17" s="189">
        <v>160</v>
      </c>
      <c r="AD17" s="189"/>
    </row>
    <row r="18" spans="1:30" s="190" customFormat="1" ht="15.75" customHeight="1" x14ac:dyDescent="0.25">
      <c r="A18" s="180">
        <v>45204</v>
      </c>
      <c r="B18" s="222">
        <v>914452838</v>
      </c>
      <c r="C18" s="220">
        <v>2</v>
      </c>
      <c r="D18" s="220">
        <v>4</v>
      </c>
      <c r="E18" s="220"/>
      <c r="F18" s="220"/>
      <c r="G18" s="220"/>
      <c r="H18" s="220">
        <v>2</v>
      </c>
      <c r="I18" s="220"/>
      <c r="J18" s="220">
        <v>-2</v>
      </c>
      <c r="K18" s="220"/>
      <c r="L18" s="220">
        <v>-5</v>
      </c>
      <c r="M18" s="220">
        <v>6</v>
      </c>
      <c r="N18" s="220"/>
      <c r="O18" s="185"/>
      <c r="P18" s="186">
        <f t="shared" si="12"/>
        <v>4456.2250000000004</v>
      </c>
      <c r="Q18" s="188"/>
      <c r="R18" s="188"/>
      <c r="S18" s="189">
        <v>584.47</v>
      </c>
      <c r="T18" s="189">
        <v>677.47</v>
      </c>
      <c r="U18" s="189"/>
      <c r="V18" s="189"/>
      <c r="W18" s="189"/>
      <c r="X18" s="189">
        <v>403.08</v>
      </c>
      <c r="Y18" s="189"/>
      <c r="Z18" s="189">
        <v>640</v>
      </c>
      <c r="AA18" s="189"/>
      <c r="AB18" s="189">
        <v>160</v>
      </c>
      <c r="AC18" s="189">
        <v>160</v>
      </c>
      <c r="AD18" s="189"/>
    </row>
    <row r="19" spans="1:30" s="190" customFormat="1" ht="15.75" customHeight="1" x14ac:dyDescent="0.25">
      <c r="A19" s="180"/>
      <c r="B19" s="222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185"/>
      <c r="P19" s="221"/>
      <c r="Q19" s="188"/>
      <c r="R19" s="188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1:30" s="190" customFormat="1" ht="15.75" customHeight="1" x14ac:dyDescent="0.25">
      <c r="A20" s="180"/>
      <c r="B20" s="222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185"/>
      <c r="P20" s="221"/>
      <c r="Q20" s="188"/>
      <c r="X20" s="223"/>
      <c r="Y20" s="224"/>
      <c r="Z20" s="224"/>
      <c r="AA20" s="224"/>
      <c r="AB20" s="224"/>
      <c r="AC20" s="224"/>
      <c r="AD20" s="224"/>
    </row>
    <row r="21" spans="1:30" s="190" customFormat="1" ht="15.75" x14ac:dyDescent="0.25">
      <c r="A21" s="180"/>
      <c r="B21" s="222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185"/>
      <c r="P21" s="221"/>
      <c r="Q21" s="188"/>
      <c r="X21" s="188"/>
      <c r="Y21" s="188"/>
      <c r="Z21" s="188"/>
      <c r="AA21" s="188"/>
      <c r="AB21" s="188"/>
      <c r="AC21" s="188"/>
      <c r="AD21" s="188"/>
    </row>
    <row r="22" spans="1:30" s="190" customFormat="1" ht="15.75" customHeight="1" x14ac:dyDescent="0.25">
      <c r="A22" s="180"/>
      <c r="B22" s="222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27"/>
      <c r="Q22" s="188"/>
      <c r="R22" s="188"/>
      <c r="S22" s="228"/>
      <c r="T22" s="22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30" ht="15.75" customHeight="1" x14ac:dyDescent="0.2">
      <c r="A23" s="206"/>
      <c r="B23" s="174" t="s">
        <v>381</v>
      </c>
      <c r="C23" s="229">
        <f>SUM(C14:C22)</f>
        <v>9</v>
      </c>
      <c r="D23" s="229">
        <f t="shared" ref="D23:N23" si="13">SUM(D14:D22)</f>
        <v>14</v>
      </c>
      <c r="E23" s="229">
        <f t="shared" si="13"/>
        <v>0</v>
      </c>
      <c r="F23" s="229">
        <f t="shared" si="13"/>
        <v>0</v>
      </c>
      <c r="G23" s="229">
        <f t="shared" si="13"/>
        <v>0</v>
      </c>
      <c r="H23" s="229">
        <f t="shared" si="13"/>
        <v>3</v>
      </c>
      <c r="I23" s="229">
        <f t="shared" si="13"/>
        <v>0</v>
      </c>
      <c r="J23" s="229">
        <f t="shared" si="13"/>
        <v>-1</v>
      </c>
      <c r="K23" s="229">
        <f t="shared" si="13"/>
        <v>0</v>
      </c>
      <c r="L23" s="229">
        <f t="shared" si="13"/>
        <v>-30</v>
      </c>
      <c r="M23" s="229">
        <f t="shared" si="13"/>
        <v>24</v>
      </c>
      <c r="N23" s="229">
        <f t="shared" si="13"/>
        <v>0</v>
      </c>
      <c r="O23" s="229">
        <f>SUM(C23:G23)</f>
        <v>23</v>
      </c>
      <c r="P23" s="230">
        <f>SUM(P14:P22)</f>
        <v>17970.300000000003</v>
      </c>
      <c r="Q23" s="231"/>
      <c r="R23" s="174"/>
      <c r="S23" s="209"/>
      <c r="T23" s="209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30" ht="15.75" customHeight="1" x14ac:dyDescent="0.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</row>
    <row r="25" spans="1:30" ht="15.75" customHeight="1" x14ac:dyDescent="0.25">
      <c r="A25" s="232"/>
      <c r="B25" s="233" t="s">
        <v>382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6"/>
      <c r="P25" s="204"/>
      <c r="Q25" s="174"/>
      <c r="R25" s="234" t="s">
        <v>383</v>
      </c>
      <c r="S25" s="235">
        <f>MAX(S26:S56)</f>
        <v>810</v>
      </c>
      <c r="T25" s="235">
        <f>MAX(T26:T56)</f>
        <v>925</v>
      </c>
      <c r="U25" s="235">
        <f>MAX(U26:U56)</f>
        <v>0</v>
      </c>
      <c r="V25" s="235">
        <f>MAX(V26:V56)</f>
        <v>950</v>
      </c>
      <c r="W25" s="235">
        <f t="shared" ref="W25:AD25" si="14">MAX(W26:W56)</f>
        <v>0</v>
      </c>
      <c r="X25" s="235">
        <f t="shared" si="14"/>
        <v>0</v>
      </c>
      <c r="Y25" s="235">
        <f t="shared" si="14"/>
        <v>0</v>
      </c>
      <c r="Z25" s="235">
        <f t="shared" si="14"/>
        <v>0</v>
      </c>
      <c r="AA25" s="235">
        <f t="shared" si="14"/>
        <v>0</v>
      </c>
      <c r="AB25" s="235">
        <f t="shared" si="14"/>
        <v>0</v>
      </c>
      <c r="AC25" s="235">
        <f t="shared" si="14"/>
        <v>0</v>
      </c>
      <c r="AD25" s="235">
        <f t="shared" si="14"/>
        <v>0</v>
      </c>
    </row>
    <row r="26" spans="1:30" s="190" customFormat="1" ht="15.75" customHeight="1" x14ac:dyDescent="0.2">
      <c r="A26" s="236">
        <v>44945</v>
      </c>
      <c r="B26" s="236" t="s">
        <v>384</v>
      </c>
      <c r="C26" s="220"/>
      <c r="D26" s="220">
        <v>1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185"/>
      <c r="P26" s="221">
        <f>SUM(C26*$S26+D26*$T26+E26*$U26+G26*$V26+F26*$W26)</f>
        <v>780</v>
      </c>
      <c r="Q26" s="188"/>
      <c r="R26" s="188"/>
      <c r="S26" s="237">
        <v>810</v>
      </c>
      <c r="T26" s="237">
        <v>780</v>
      </c>
      <c r="U26" s="237"/>
      <c r="V26" s="237"/>
      <c r="W26" s="237"/>
      <c r="X26" s="188"/>
      <c r="Y26" s="188"/>
      <c r="Z26" s="188"/>
      <c r="AA26" s="188"/>
      <c r="AB26" s="188"/>
      <c r="AC26" s="188"/>
      <c r="AD26" s="188"/>
    </row>
    <row r="27" spans="1:30" s="190" customFormat="1" ht="15.75" customHeight="1" x14ac:dyDescent="0.2">
      <c r="A27" s="236">
        <v>45033</v>
      </c>
      <c r="B27" s="236" t="s">
        <v>385</v>
      </c>
      <c r="C27" s="220"/>
      <c r="D27" s="220">
        <v>1</v>
      </c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185"/>
      <c r="P27" s="221">
        <f>SUM(C27*$S27+D27*$T27+E27*$U27+G27*$V27+F27*$W27)</f>
        <v>780</v>
      </c>
      <c r="Q27" s="188"/>
      <c r="R27" s="188"/>
      <c r="S27" s="237">
        <v>810</v>
      </c>
      <c r="T27" s="237">
        <v>780</v>
      </c>
      <c r="U27" s="237"/>
      <c r="V27" s="237"/>
      <c r="W27" s="237"/>
      <c r="X27" s="188"/>
      <c r="Y27" s="188"/>
      <c r="Z27" s="188"/>
      <c r="AA27" s="188"/>
      <c r="AB27" s="188"/>
      <c r="AC27" s="188"/>
      <c r="AD27" s="188"/>
    </row>
    <row r="28" spans="1:30" s="190" customFormat="1" ht="15.75" customHeight="1" x14ac:dyDescent="0.2">
      <c r="A28" s="236">
        <v>45061</v>
      </c>
      <c r="B28" s="236" t="s">
        <v>385</v>
      </c>
      <c r="C28" s="220"/>
      <c r="D28" s="220">
        <v>1</v>
      </c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185"/>
      <c r="P28" s="221">
        <f t="shared" ref="P28:P56" si="15">SUM(C28*$S28+D28*$T28+E28*$U28+G28*$V28+F28*$W28)</f>
        <v>780</v>
      </c>
      <c r="Q28" s="188"/>
      <c r="R28" s="188"/>
      <c r="S28" s="237">
        <v>810</v>
      </c>
      <c r="T28" s="237">
        <v>780</v>
      </c>
      <c r="U28" s="237"/>
      <c r="V28" s="237"/>
      <c r="W28" s="237"/>
      <c r="X28" s="188"/>
      <c r="Y28" s="188"/>
      <c r="Z28" s="188"/>
      <c r="AA28" s="188"/>
      <c r="AB28" s="188"/>
      <c r="AC28" s="188"/>
      <c r="AD28" s="188"/>
    </row>
    <row r="29" spans="1:30" s="190" customFormat="1" ht="15.75" customHeight="1" x14ac:dyDescent="0.2">
      <c r="A29" s="236">
        <v>45080</v>
      </c>
      <c r="B29" s="236" t="s">
        <v>386</v>
      </c>
      <c r="C29" s="220">
        <v>1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185"/>
      <c r="P29" s="221">
        <f t="shared" si="15"/>
        <v>810</v>
      </c>
      <c r="Q29" s="188"/>
      <c r="R29" s="188"/>
      <c r="S29" s="237">
        <v>810</v>
      </c>
      <c r="T29" s="237">
        <v>780</v>
      </c>
      <c r="U29" s="237"/>
      <c r="V29" s="237"/>
      <c r="W29" s="237"/>
      <c r="X29" s="188"/>
      <c r="Y29" s="188"/>
      <c r="Z29" s="188"/>
      <c r="AA29" s="188"/>
      <c r="AB29" s="188"/>
      <c r="AC29" s="188"/>
      <c r="AD29" s="188"/>
    </row>
    <row r="30" spans="1:30" s="190" customFormat="1" ht="15.75" customHeight="1" x14ac:dyDescent="0.25">
      <c r="A30" s="236">
        <v>45087</v>
      </c>
      <c r="B30" s="236" t="s">
        <v>387</v>
      </c>
      <c r="C30" s="220"/>
      <c r="D30" s="220">
        <v>1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185"/>
      <c r="P30" s="221">
        <f t="shared" si="15"/>
        <v>780</v>
      </c>
      <c r="Q30" s="188"/>
      <c r="R30" s="188"/>
      <c r="S30" s="237">
        <v>810</v>
      </c>
      <c r="T30" s="237">
        <v>780</v>
      </c>
      <c r="U30" s="228"/>
      <c r="V30" s="237"/>
      <c r="W30" s="188"/>
      <c r="X30" s="188"/>
      <c r="Y30" s="188"/>
      <c r="Z30" s="188"/>
      <c r="AA30" s="188"/>
      <c r="AB30" s="188"/>
      <c r="AC30" s="188"/>
      <c r="AD30" s="188"/>
    </row>
    <row r="31" spans="1:30" s="190" customFormat="1" ht="15.75" customHeight="1" x14ac:dyDescent="0.25">
      <c r="A31" s="236">
        <v>45097</v>
      </c>
      <c r="B31" s="236" t="s">
        <v>388</v>
      </c>
      <c r="C31" s="220">
        <v>1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185"/>
      <c r="P31" s="221">
        <f t="shared" si="15"/>
        <v>810</v>
      </c>
      <c r="Q31" s="188"/>
      <c r="R31" s="188"/>
      <c r="S31" s="237">
        <v>810</v>
      </c>
      <c r="T31" s="237">
        <v>925</v>
      </c>
      <c r="U31" s="228"/>
      <c r="V31" s="237">
        <v>950</v>
      </c>
      <c r="W31" s="188"/>
      <c r="X31" s="188"/>
      <c r="Y31" s="188"/>
      <c r="Z31" s="188"/>
      <c r="AA31" s="188"/>
      <c r="AB31" s="188"/>
      <c r="AC31" s="188"/>
      <c r="AD31" s="188"/>
    </row>
    <row r="32" spans="1:30" s="190" customFormat="1" ht="15.75" customHeight="1" x14ac:dyDescent="0.25">
      <c r="A32" s="236">
        <v>45100</v>
      </c>
      <c r="B32" s="236" t="s">
        <v>389</v>
      </c>
      <c r="C32" s="220">
        <v>0.5</v>
      </c>
      <c r="D32" s="220">
        <v>0.5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185"/>
      <c r="P32" s="221">
        <f t="shared" si="15"/>
        <v>867.5</v>
      </c>
      <c r="Q32" s="188"/>
      <c r="R32" s="188"/>
      <c r="S32" s="237">
        <v>810</v>
      </c>
      <c r="T32" s="237">
        <v>925</v>
      </c>
      <c r="U32" s="228"/>
      <c r="V32" s="237"/>
      <c r="W32" s="188"/>
      <c r="X32" s="188"/>
      <c r="Y32" s="188"/>
      <c r="Z32" s="188"/>
      <c r="AA32" s="188"/>
      <c r="AB32" s="188"/>
      <c r="AC32" s="188"/>
      <c r="AD32" s="188"/>
    </row>
    <row r="33" spans="1:30" s="190" customFormat="1" ht="15.75" customHeight="1" x14ac:dyDescent="0.25">
      <c r="A33" s="236">
        <v>45100</v>
      </c>
      <c r="B33" s="236" t="s">
        <v>390</v>
      </c>
      <c r="C33" s="220">
        <v>0.5</v>
      </c>
      <c r="D33" s="220">
        <v>0.5</v>
      </c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185"/>
      <c r="P33" s="221">
        <f t="shared" si="15"/>
        <v>867.5</v>
      </c>
      <c r="Q33" s="188"/>
      <c r="R33" s="188"/>
      <c r="S33" s="237">
        <v>810</v>
      </c>
      <c r="T33" s="237">
        <v>925</v>
      </c>
      <c r="U33" s="228"/>
      <c r="V33" s="237"/>
      <c r="W33" s="188"/>
      <c r="X33" s="188"/>
      <c r="Y33" s="188"/>
      <c r="Z33" s="188"/>
      <c r="AA33" s="188"/>
      <c r="AB33" s="188"/>
      <c r="AC33" s="188"/>
      <c r="AD33" s="188"/>
    </row>
    <row r="34" spans="1:30" s="190" customFormat="1" ht="15.75" customHeight="1" x14ac:dyDescent="0.25">
      <c r="A34" s="236">
        <v>45127</v>
      </c>
      <c r="B34" s="236" t="s">
        <v>388</v>
      </c>
      <c r="C34" s="220"/>
      <c r="D34" s="220">
        <v>1</v>
      </c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185"/>
      <c r="P34" s="221">
        <f t="shared" si="15"/>
        <v>925</v>
      </c>
      <c r="Q34" s="188"/>
      <c r="R34" s="188"/>
      <c r="S34" s="237">
        <v>810</v>
      </c>
      <c r="T34" s="237">
        <v>925</v>
      </c>
      <c r="U34" s="228"/>
      <c r="V34" s="237"/>
      <c r="W34" s="188"/>
      <c r="X34" s="188"/>
      <c r="Y34" s="188"/>
      <c r="Z34" s="188"/>
      <c r="AA34" s="188"/>
      <c r="AB34" s="188"/>
      <c r="AC34" s="188"/>
      <c r="AD34" s="188"/>
    </row>
    <row r="35" spans="1:30" s="190" customFormat="1" ht="15.75" customHeight="1" x14ac:dyDescent="0.25">
      <c r="A35" s="236">
        <v>45143</v>
      </c>
      <c r="B35" s="236" t="s">
        <v>391</v>
      </c>
      <c r="C35" s="220">
        <v>1</v>
      </c>
      <c r="D35" s="220">
        <v>1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185"/>
      <c r="P35" s="221">
        <f t="shared" si="15"/>
        <v>1735</v>
      </c>
      <c r="Q35" s="188"/>
      <c r="R35" s="188" t="s">
        <v>221</v>
      </c>
      <c r="S35" s="237">
        <v>810</v>
      </c>
      <c r="T35" s="237">
        <v>925</v>
      </c>
      <c r="U35" s="228"/>
      <c r="V35" s="237"/>
      <c r="W35" s="188"/>
      <c r="X35" s="188"/>
      <c r="Y35" s="188"/>
      <c r="Z35" s="188"/>
      <c r="AA35" s="188"/>
      <c r="AB35" s="188"/>
      <c r="AC35" s="188"/>
      <c r="AD35" s="188"/>
    </row>
    <row r="36" spans="1:30" s="190" customFormat="1" ht="15.75" customHeight="1" x14ac:dyDescent="0.25">
      <c r="A36" s="236">
        <v>45149</v>
      </c>
      <c r="B36" s="236" t="s">
        <v>392</v>
      </c>
      <c r="C36" s="220"/>
      <c r="D36" s="220">
        <v>1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185"/>
      <c r="P36" s="221">
        <f t="shared" si="15"/>
        <v>925</v>
      </c>
      <c r="Q36" s="188"/>
      <c r="R36" s="188"/>
      <c r="S36" s="237">
        <v>810</v>
      </c>
      <c r="T36" s="237">
        <v>925</v>
      </c>
      <c r="U36" s="228"/>
      <c r="V36" s="237"/>
      <c r="W36" s="188"/>
      <c r="X36" s="188"/>
      <c r="Y36" s="188"/>
      <c r="Z36" s="188"/>
      <c r="AA36" s="188"/>
      <c r="AB36" s="188"/>
      <c r="AC36" s="188"/>
      <c r="AD36" s="188"/>
    </row>
    <row r="37" spans="1:30" s="190" customFormat="1" ht="15.75" customHeight="1" x14ac:dyDescent="0.25">
      <c r="A37" s="236">
        <v>45150</v>
      </c>
      <c r="B37" s="236" t="s">
        <v>393</v>
      </c>
      <c r="C37" s="220">
        <v>2</v>
      </c>
      <c r="D37" s="220">
        <v>1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185"/>
      <c r="P37" s="221">
        <f t="shared" si="15"/>
        <v>2545</v>
      </c>
      <c r="Q37" s="188"/>
      <c r="R37" s="188"/>
      <c r="S37" s="237">
        <v>810</v>
      </c>
      <c r="T37" s="237">
        <v>925</v>
      </c>
      <c r="U37" s="228"/>
      <c r="V37" s="237"/>
      <c r="W37" s="188"/>
      <c r="X37" s="188"/>
      <c r="Y37" s="188"/>
      <c r="Z37" s="188"/>
      <c r="AA37" s="188"/>
      <c r="AB37" s="188"/>
      <c r="AC37" s="188"/>
      <c r="AD37" s="188"/>
    </row>
    <row r="38" spans="1:30" s="190" customFormat="1" ht="15.75" customHeight="1" x14ac:dyDescent="0.25">
      <c r="A38" s="236">
        <v>45164</v>
      </c>
      <c r="B38" s="236" t="s">
        <v>394</v>
      </c>
      <c r="C38" s="220"/>
      <c r="D38" s="220">
        <v>2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185"/>
      <c r="P38" s="221">
        <f t="shared" si="15"/>
        <v>1850</v>
      </c>
      <c r="Q38" s="188"/>
      <c r="R38" s="188"/>
      <c r="S38" s="237">
        <v>810</v>
      </c>
      <c r="T38" s="237">
        <v>925</v>
      </c>
      <c r="U38" s="228"/>
      <c r="V38" s="237"/>
      <c r="W38" s="188"/>
      <c r="X38" s="188"/>
      <c r="Y38" s="188"/>
      <c r="Z38" s="188"/>
      <c r="AA38" s="188"/>
      <c r="AB38" s="188"/>
      <c r="AC38" s="188"/>
      <c r="AD38" s="188"/>
    </row>
    <row r="39" spans="1:30" s="190" customFormat="1" ht="15.75" customHeight="1" x14ac:dyDescent="0.25">
      <c r="A39" s="236">
        <v>45178</v>
      </c>
      <c r="B39" s="236" t="s">
        <v>395</v>
      </c>
      <c r="C39" s="220">
        <v>1</v>
      </c>
      <c r="D39" s="220">
        <v>1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185"/>
      <c r="P39" s="221">
        <f t="shared" si="15"/>
        <v>1735</v>
      </c>
      <c r="Q39" s="188"/>
      <c r="R39" s="188"/>
      <c r="S39" s="237">
        <v>810</v>
      </c>
      <c r="T39" s="237">
        <v>925</v>
      </c>
      <c r="U39" s="228"/>
      <c r="V39" s="237"/>
      <c r="W39" s="188"/>
      <c r="X39" s="188"/>
      <c r="Y39" s="188"/>
      <c r="Z39" s="188"/>
      <c r="AA39" s="188"/>
      <c r="AB39" s="188"/>
      <c r="AC39" s="188"/>
      <c r="AD39" s="188"/>
    </row>
    <row r="40" spans="1:30" s="190" customFormat="1" ht="15.75" customHeight="1" x14ac:dyDescent="0.25">
      <c r="A40" s="236">
        <v>45185</v>
      </c>
      <c r="B40" s="236" t="s">
        <v>385</v>
      </c>
      <c r="C40" s="220">
        <v>1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185"/>
      <c r="P40" s="221">
        <f t="shared" si="15"/>
        <v>810</v>
      </c>
      <c r="Q40" s="188"/>
      <c r="R40" s="188"/>
      <c r="S40" s="237">
        <v>810</v>
      </c>
      <c r="T40" s="237">
        <v>925</v>
      </c>
      <c r="U40" s="228"/>
      <c r="V40" s="237"/>
      <c r="W40" s="188"/>
      <c r="X40" s="188"/>
      <c r="Y40" s="188"/>
      <c r="Z40" s="188"/>
      <c r="AA40" s="188"/>
      <c r="AB40" s="188"/>
      <c r="AC40" s="188"/>
      <c r="AD40" s="188"/>
    </row>
    <row r="41" spans="1:30" s="190" customFormat="1" ht="15.75" customHeight="1" x14ac:dyDescent="0.25">
      <c r="A41" s="236">
        <v>45198</v>
      </c>
      <c r="B41" s="236" t="s">
        <v>388</v>
      </c>
      <c r="C41" s="220"/>
      <c r="D41" s="220">
        <v>1</v>
      </c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185"/>
      <c r="P41" s="221">
        <f t="shared" si="15"/>
        <v>925</v>
      </c>
      <c r="Q41" s="188"/>
      <c r="R41" s="188"/>
      <c r="S41" s="237">
        <v>810</v>
      </c>
      <c r="T41" s="237">
        <v>925</v>
      </c>
      <c r="U41" s="228"/>
      <c r="V41" s="237"/>
      <c r="W41" s="188"/>
      <c r="X41" s="188"/>
      <c r="Y41" s="188"/>
      <c r="Z41" s="188"/>
      <c r="AA41" s="188"/>
      <c r="AB41" s="188"/>
      <c r="AC41" s="188"/>
      <c r="AD41" s="188"/>
    </row>
    <row r="42" spans="1:30" s="190" customFormat="1" ht="15.75" customHeight="1" x14ac:dyDescent="0.25">
      <c r="A42" s="236">
        <v>45240</v>
      </c>
      <c r="B42" s="236" t="s">
        <v>396</v>
      </c>
      <c r="C42" s="220"/>
      <c r="D42" s="220">
        <v>1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185"/>
      <c r="P42" s="221">
        <f t="shared" si="15"/>
        <v>925</v>
      </c>
      <c r="Q42" s="188"/>
      <c r="R42" s="188"/>
      <c r="S42" s="237">
        <v>810</v>
      </c>
      <c r="T42" s="237">
        <v>925</v>
      </c>
      <c r="U42" s="228"/>
      <c r="V42" s="237"/>
      <c r="W42" s="188"/>
      <c r="X42" s="188"/>
      <c r="Y42" s="188"/>
      <c r="Z42" s="188"/>
      <c r="AA42" s="188"/>
      <c r="AB42" s="188"/>
      <c r="AC42" s="188"/>
      <c r="AD42" s="188"/>
    </row>
    <row r="43" spans="1:30" s="190" customFormat="1" ht="15.75" customHeight="1" x14ac:dyDescent="0.25">
      <c r="A43" s="236">
        <v>45249</v>
      </c>
      <c r="B43" s="236" t="s">
        <v>397</v>
      </c>
      <c r="C43" s="220"/>
      <c r="D43" s="220">
        <v>1</v>
      </c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185"/>
      <c r="P43" s="221">
        <f t="shared" si="15"/>
        <v>925</v>
      </c>
      <c r="Q43" s="188"/>
      <c r="R43" s="188"/>
      <c r="S43" s="237">
        <v>810</v>
      </c>
      <c r="T43" s="237">
        <v>925</v>
      </c>
      <c r="U43" s="228"/>
      <c r="V43" s="237"/>
      <c r="W43" s="188"/>
      <c r="X43" s="188"/>
      <c r="Y43" s="188"/>
      <c r="Z43" s="188"/>
      <c r="AA43" s="188"/>
      <c r="AB43" s="188"/>
      <c r="AC43" s="188"/>
      <c r="AD43" s="188"/>
    </row>
    <row r="44" spans="1:30" s="190" customFormat="1" ht="15.75" customHeight="1" x14ac:dyDescent="0.25">
      <c r="A44" s="236">
        <v>45657</v>
      </c>
      <c r="B44" s="236" t="s">
        <v>398</v>
      </c>
      <c r="C44" s="220">
        <v>1</v>
      </c>
      <c r="D44" s="220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9"/>
      <c r="P44" s="221">
        <f t="shared" si="15"/>
        <v>810</v>
      </c>
      <c r="Q44" s="188"/>
      <c r="R44" s="188" t="s">
        <v>221</v>
      </c>
      <c r="S44" s="237">
        <v>810</v>
      </c>
      <c r="T44" s="237">
        <v>925</v>
      </c>
      <c r="U44" s="228"/>
      <c r="V44" s="237"/>
      <c r="W44" s="188"/>
      <c r="X44" s="188"/>
      <c r="Y44" s="188"/>
      <c r="Z44" s="188"/>
      <c r="AA44" s="188"/>
      <c r="AB44" s="188"/>
      <c r="AC44" s="188"/>
      <c r="AD44" s="188"/>
    </row>
    <row r="45" spans="1:30" s="190" customFormat="1" ht="15.75" customHeight="1" x14ac:dyDescent="0.25">
      <c r="A45" s="236"/>
      <c r="B45" s="236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185"/>
      <c r="P45" s="221">
        <f t="shared" si="15"/>
        <v>0</v>
      </c>
      <c r="Q45" s="188"/>
      <c r="R45" s="188"/>
      <c r="S45" s="237"/>
      <c r="T45" s="237"/>
      <c r="U45" s="228"/>
      <c r="V45" s="237"/>
      <c r="W45" s="188"/>
      <c r="X45" s="188"/>
      <c r="Y45" s="188"/>
      <c r="Z45" s="188"/>
      <c r="AA45" s="188"/>
      <c r="AB45" s="188"/>
      <c r="AC45" s="188"/>
      <c r="AD45" s="188"/>
    </row>
    <row r="46" spans="1:30" s="190" customFormat="1" ht="15.75" customHeight="1" x14ac:dyDescent="0.25">
      <c r="A46" s="236"/>
      <c r="B46" s="236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185"/>
      <c r="P46" s="221">
        <f t="shared" si="15"/>
        <v>0</v>
      </c>
      <c r="Q46" s="188"/>
      <c r="R46" s="188"/>
      <c r="S46" s="237"/>
      <c r="T46" s="237"/>
      <c r="U46" s="228"/>
      <c r="V46" s="237"/>
      <c r="W46" s="188"/>
      <c r="X46" s="188"/>
      <c r="Y46" s="188"/>
      <c r="Z46" s="188"/>
      <c r="AA46" s="188"/>
      <c r="AB46" s="188"/>
      <c r="AC46" s="188"/>
      <c r="AD46" s="188"/>
    </row>
    <row r="47" spans="1:30" s="190" customFormat="1" ht="15.75" customHeight="1" x14ac:dyDescent="0.25">
      <c r="A47" s="236"/>
      <c r="B47" s="236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185"/>
      <c r="P47" s="221">
        <f t="shared" si="15"/>
        <v>0</v>
      </c>
      <c r="Q47" s="188"/>
      <c r="R47" s="188"/>
      <c r="S47" s="237"/>
      <c r="T47" s="237"/>
      <c r="U47" s="228"/>
      <c r="V47" s="237"/>
      <c r="W47" s="188"/>
      <c r="X47" s="188"/>
      <c r="Y47" s="188"/>
      <c r="Z47" s="188"/>
      <c r="AA47" s="188"/>
      <c r="AB47" s="188"/>
      <c r="AC47" s="188"/>
      <c r="AD47" s="188"/>
    </row>
    <row r="48" spans="1:30" s="190" customFormat="1" ht="15.75" customHeight="1" x14ac:dyDescent="0.25">
      <c r="A48" s="236"/>
      <c r="B48" s="236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185"/>
      <c r="P48" s="221">
        <f t="shared" si="15"/>
        <v>0</v>
      </c>
      <c r="Q48" s="188"/>
      <c r="R48" s="188"/>
      <c r="S48" s="237"/>
      <c r="T48" s="237"/>
      <c r="U48" s="228"/>
      <c r="V48" s="237"/>
      <c r="W48" s="188"/>
      <c r="X48" s="188"/>
      <c r="Y48" s="188"/>
      <c r="Z48" s="188"/>
      <c r="AA48" s="188"/>
      <c r="AB48" s="188"/>
      <c r="AC48" s="188"/>
      <c r="AD48" s="188"/>
    </row>
    <row r="49" spans="1:30" s="190" customFormat="1" ht="15.75" customHeight="1" x14ac:dyDescent="0.25">
      <c r="A49" s="236"/>
      <c r="B49" s="236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185"/>
      <c r="P49" s="221">
        <f t="shared" si="15"/>
        <v>0</v>
      </c>
      <c r="Q49" s="188"/>
      <c r="R49" s="188"/>
      <c r="S49" s="237"/>
      <c r="T49" s="237"/>
      <c r="U49" s="228"/>
      <c r="V49" s="237"/>
      <c r="W49" s="188"/>
      <c r="X49" s="188"/>
      <c r="Y49" s="188"/>
      <c r="Z49" s="188"/>
      <c r="AA49" s="188"/>
      <c r="AB49" s="188"/>
      <c r="AC49" s="188"/>
      <c r="AD49" s="188"/>
    </row>
    <row r="50" spans="1:30" s="190" customFormat="1" ht="15.75" customHeight="1" x14ac:dyDescent="0.25">
      <c r="A50" s="236"/>
      <c r="B50" s="236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185"/>
      <c r="P50" s="221">
        <f t="shared" si="15"/>
        <v>0</v>
      </c>
      <c r="Q50" s="188"/>
      <c r="R50" s="188"/>
      <c r="S50" s="237"/>
      <c r="T50" s="237"/>
      <c r="U50" s="228"/>
      <c r="V50" s="237"/>
      <c r="W50" s="188"/>
      <c r="X50" s="188"/>
      <c r="Y50" s="188"/>
      <c r="Z50" s="188"/>
      <c r="AA50" s="188"/>
      <c r="AB50" s="188"/>
      <c r="AC50" s="188"/>
      <c r="AD50" s="188"/>
    </row>
    <row r="51" spans="1:30" s="190" customFormat="1" ht="15.75" customHeight="1" x14ac:dyDescent="0.25">
      <c r="A51" s="236"/>
      <c r="B51" s="236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185"/>
      <c r="P51" s="221">
        <f t="shared" si="15"/>
        <v>0</v>
      </c>
      <c r="Q51" s="188"/>
      <c r="R51" s="188"/>
      <c r="S51" s="237"/>
      <c r="T51" s="237"/>
      <c r="U51" s="228"/>
      <c r="V51" s="237"/>
      <c r="W51" s="188"/>
      <c r="X51" s="188"/>
      <c r="Y51" s="188"/>
      <c r="Z51" s="188"/>
      <c r="AA51" s="188"/>
      <c r="AB51" s="188"/>
      <c r="AC51" s="188"/>
      <c r="AD51" s="188"/>
    </row>
    <row r="52" spans="1:30" s="190" customFormat="1" ht="15.75" customHeight="1" x14ac:dyDescent="0.25">
      <c r="A52" s="24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185"/>
      <c r="P52" s="221">
        <f t="shared" si="15"/>
        <v>0</v>
      </c>
      <c r="Q52" s="188"/>
      <c r="R52" s="188"/>
      <c r="S52" s="237"/>
      <c r="T52" s="237"/>
      <c r="U52" s="228"/>
      <c r="V52" s="237"/>
      <c r="W52" s="188"/>
      <c r="X52" s="188"/>
      <c r="Y52" s="188"/>
      <c r="Z52" s="188"/>
      <c r="AA52" s="188"/>
      <c r="AB52" s="188"/>
      <c r="AC52" s="188"/>
      <c r="AD52" s="188"/>
    </row>
    <row r="53" spans="1:30" s="190" customFormat="1" ht="15.75" customHeight="1" x14ac:dyDescent="0.25">
      <c r="A53" s="24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185"/>
      <c r="P53" s="221">
        <f t="shared" si="15"/>
        <v>0</v>
      </c>
      <c r="Q53" s="188"/>
      <c r="R53" s="188"/>
      <c r="S53" s="237"/>
      <c r="T53" s="237"/>
      <c r="U53" s="228"/>
      <c r="V53" s="237"/>
      <c r="W53" s="188"/>
      <c r="X53" s="188"/>
      <c r="Y53" s="188"/>
      <c r="Z53" s="188"/>
      <c r="AA53" s="188"/>
      <c r="AB53" s="188"/>
      <c r="AC53" s="188"/>
      <c r="AD53" s="188"/>
    </row>
    <row r="54" spans="1:30" s="190" customFormat="1" ht="15.75" customHeight="1" x14ac:dyDescent="0.25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185"/>
      <c r="P54" s="221">
        <f t="shared" si="15"/>
        <v>0</v>
      </c>
      <c r="Q54" s="188"/>
      <c r="R54" s="188"/>
      <c r="S54" s="237"/>
      <c r="T54" s="237"/>
      <c r="U54" s="228"/>
      <c r="V54" s="237"/>
      <c r="W54" s="188"/>
      <c r="X54" s="188"/>
      <c r="Y54" s="188"/>
      <c r="Z54" s="188"/>
      <c r="AA54" s="188"/>
      <c r="AB54" s="188"/>
      <c r="AC54" s="188"/>
      <c r="AD54" s="188"/>
    </row>
    <row r="55" spans="1:30" s="190" customFormat="1" ht="15.75" customHeight="1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185"/>
      <c r="P55" s="221">
        <f t="shared" si="15"/>
        <v>0</v>
      </c>
      <c r="Q55" s="188"/>
      <c r="R55" s="188"/>
      <c r="S55" s="237"/>
      <c r="T55" s="237"/>
      <c r="U55" s="228"/>
      <c r="V55" s="237"/>
      <c r="W55" s="188"/>
      <c r="X55" s="188"/>
      <c r="Y55" s="188"/>
      <c r="Z55" s="188"/>
      <c r="AA55" s="188"/>
      <c r="AB55" s="188"/>
      <c r="AC55" s="188"/>
      <c r="AD55" s="188"/>
    </row>
    <row r="56" spans="1:30" s="190" customFormat="1" ht="15.75" customHeight="1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185"/>
      <c r="P56" s="221">
        <f t="shared" si="15"/>
        <v>0</v>
      </c>
      <c r="Q56" s="188"/>
      <c r="R56" s="188"/>
      <c r="S56" s="237"/>
      <c r="T56" s="237"/>
      <c r="U56" s="228"/>
      <c r="V56" s="237"/>
      <c r="W56" s="188"/>
      <c r="X56" s="188"/>
      <c r="Y56" s="188"/>
      <c r="Z56" s="188"/>
      <c r="AA56" s="188"/>
      <c r="AB56" s="188"/>
      <c r="AC56" s="188"/>
      <c r="AD56" s="188"/>
    </row>
    <row r="57" spans="1:30" ht="15.75" customHeight="1" x14ac:dyDescent="0.25">
      <c r="A57" s="241"/>
      <c r="B57" s="242" t="s">
        <v>399</v>
      </c>
      <c r="C57" s="243">
        <f t="shared" ref="C57:H57" si="16">SUM(C26:C56)</f>
        <v>9</v>
      </c>
      <c r="D57" s="243">
        <f t="shared" si="16"/>
        <v>15</v>
      </c>
      <c r="E57" s="243">
        <f t="shared" si="16"/>
        <v>0</v>
      </c>
      <c r="F57" s="243">
        <f t="shared" si="16"/>
        <v>0</v>
      </c>
      <c r="G57" s="243">
        <f t="shared" si="16"/>
        <v>0</v>
      </c>
      <c r="H57" s="243">
        <f t="shared" si="16"/>
        <v>0</v>
      </c>
      <c r="I57" s="243"/>
      <c r="J57" s="243"/>
      <c r="K57" s="243"/>
      <c r="L57" s="243"/>
      <c r="M57" s="243"/>
      <c r="N57" s="243"/>
      <c r="O57" s="244">
        <f>SUM(C57:G57)</f>
        <v>24</v>
      </c>
      <c r="P57" s="227">
        <f>SUM(P26:P56)</f>
        <v>20585</v>
      </c>
      <c r="Q57" s="245"/>
      <c r="R57" s="174"/>
      <c r="S57" s="246"/>
      <c r="T57" s="246"/>
      <c r="U57" s="246"/>
      <c r="V57" s="246"/>
      <c r="W57" s="174"/>
      <c r="X57" s="174"/>
      <c r="Y57" s="174"/>
      <c r="Z57" s="174"/>
      <c r="AA57" s="174"/>
      <c r="AB57" s="174"/>
      <c r="AC57" s="174"/>
      <c r="AD57" s="174"/>
    </row>
    <row r="58" spans="1:30" ht="15.75" customHeight="1" x14ac:dyDescent="0.25">
      <c r="A58" s="241"/>
      <c r="B58" s="174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174"/>
      <c r="P58" s="230"/>
      <c r="Q58" s="174"/>
      <c r="R58" s="224" t="s">
        <v>374</v>
      </c>
      <c r="S58" s="177" t="str">
        <f>S2</f>
        <v xml:space="preserve">Grøn Tub </v>
      </c>
      <c r="T58" s="177" t="str">
        <f>T2</f>
        <v>Classic</v>
      </c>
      <c r="U58" s="177" t="str">
        <f>U2</f>
        <v>Carlsberg Hof</v>
      </c>
      <c r="V58" s="177">
        <f>V2</f>
        <v>1664</v>
      </c>
      <c r="W58" s="177" t="str">
        <f>W2</f>
        <v>Andre</v>
      </c>
      <c r="X58" s="174"/>
      <c r="Y58" s="174"/>
      <c r="Z58" s="174"/>
      <c r="AA58" s="174"/>
      <c r="AB58" s="174"/>
      <c r="AC58" s="174"/>
      <c r="AD58" s="174"/>
    </row>
    <row r="59" spans="1:30" ht="15.75" customHeight="1" thickBot="1" x14ac:dyDescent="0.3">
      <c r="A59" s="247"/>
      <c r="B59" s="200" t="s">
        <v>400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7"/>
      <c r="P59" s="249">
        <f>P57-P23</f>
        <v>2614.6999999999971</v>
      </c>
      <c r="Q59" s="200"/>
      <c r="R59" s="250" t="s">
        <v>401</v>
      </c>
      <c r="S59" s="251">
        <f>S6</f>
        <v>730.58750000000009</v>
      </c>
      <c r="T59" s="251">
        <f>T6</f>
        <v>846.83750000000009</v>
      </c>
      <c r="U59" s="251">
        <f>U6</f>
        <v>0</v>
      </c>
      <c r="V59" s="251">
        <f>V6</f>
        <v>874.57499999999993</v>
      </c>
      <c r="W59" s="251">
        <f>W6</f>
        <v>0</v>
      </c>
      <c r="X59" s="200"/>
      <c r="Y59" s="200"/>
      <c r="Z59" s="200"/>
      <c r="AA59" s="200"/>
      <c r="AB59" s="200"/>
      <c r="AC59" s="200"/>
      <c r="AD59" s="200"/>
    </row>
    <row r="60" spans="1:30" ht="15.75" customHeight="1" thickTop="1" x14ac:dyDescent="0.25">
      <c r="A60" s="241"/>
      <c r="B60" s="174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41"/>
      <c r="P60" s="230"/>
      <c r="Q60" s="174"/>
      <c r="R60" s="253" t="s">
        <v>402</v>
      </c>
      <c r="S60" s="254">
        <f>$X$6/26</f>
        <v>19.378846153846151</v>
      </c>
      <c r="T60" s="254">
        <f t="shared" ref="T60:W60" si="17">$X$6/26</f>
        <v>19.378846153846151</v>
      </c>
      <c r="U60" s="254">
        <f t="shared" si="17"/>
        <v>19.378846153846151</v>
      </c>
      <c r="V60" s="254">
        <f t="shared" si="17"/>
        <v>19.378846153846151</v>
      </c>
      <c r="W60" s="254">
        <f t="shared" si="17"/>
        <v>19.378846153846151</v>
      </c>
      <c r="X60" s="174"/>
      <c r="Y60" s="174"/>
      <c r="Z60" s="174"/>
      <c r="AA60" s="174"/>
      <c r="AB60" s="174"/>
      <c r="AC60" s="174"/>
      <c r="AD60" s="174"/>
    </row>
    <row r="61" spans="1:30" ht="15.75" customHeight="1" x14ac:dyDescent="0.25">
      <c r="A61" s="241"/>
      <c r="B61" s="174" t="s">
        <v>403</v>
      </c>
      <c r="C61" s="252">
        <f>SUM(C57:G57)</f>
        <v>24</v>
      </c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41"/>
      <c r="P61" s="255"/>
      <c r="Q61" s="174"/>
      <c r="R61" s="200" t="s">
        <v>404</v>
      </c>
      <c r="S61" s="209">
        <f>SUM(S59:S60)</f>
        <v>749.96634615384619</v>
      </c>
      <c r="T61" s="209">
        <f t="shared" ref="T61:W61" si="18">SUM(T59:T60)</f>
        <v>866.21634615384619</v>
      </c>
      <c r="U61" s="209">
        <f t="shared" si="18"/>
        <v>19.378846153846151</v>
      </c>
      <c r="V61" s="209">
        <f t="shared" si="18"/>
        <v>893.95384615384603</v>
      </c>
      <c r="W61" s="209">
        <f t="shared" si="18"/>
        <v>19.378846153846151</v>
      </c>
      <c r="X61" s="174"/>
      <c r="Y61" s="174"/>
      <c r="Z61" s="174"/>
      <c r="AA61" s="174"/>
      <c r="AB61" s="174"/>
      <c r="AC61" s="174"/>
      <c r="AD61" s="174"/>
    </row>
    <row r="62" spans="1:30" ht="15.75" customHeight="1" x14ac:dyDescent="0.25">
      <c r="A62" s="174"/>
      <c r="B62" s="174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174"/>
      <c r="P62" s="230"/>
      <c r="Q62" s="174"/>
      <c r="R62" s="253" t="s">
        <v>383</v>
      </c>
      <c r="S62" s="256">
        <f>S25</f>
        <v>810</v>
      </c>
      <c r="T62" s="256">
        <f t="shared" ref="T62:W62" si="19">T25</f>
        <v>925</v>
      </c>
      <c r="U62" s="256">
        <f t="shared" si="19"/>
        <v>0</v>
      </c>
      <c r="V62" s="256">
        <f t="shared" si="19"/>
        <v>950</v>
      </c>
      <c r="W62" s="256">
        <f t="shared" si="19"/>
        <v>0</v>
      </c>
      <c r="X62" s="174"/>
      <c r="Y62" s="174"/>
      <c r="Z62" s="174"/>
      <c r="AA62" s="174"/>
      <c r="AB62" s="174"/>
      <c r="AC62" s="174"/>
      <c r="AD62" s="174"/>
    </row>
    <row r="63" spans="1:30" ht="15.75" customHeight="1" thickBot="1" x14ac:dyDescent="0.3">
      <c r="A63" s="200"/>
      <c r="B63" s="200" t="s">
        <v>405</v>
      </c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00"/>
      <c r="P63" s="258">
        <f>SUM(P6+P59)</f>
        <v>212.06249999999636</v>
      </c>
      <c r="Q63" s="202"/>
      <c r="R63" s="224" t="s">
        <v>406</v>
      </c>
      <c r="S63" s="237">
        <f>S62-S61</f>
        <v>60.033653846153811</v>
      </c>
      <c r="T63" s="237">
        <f t="shared" ref="T63:W63" si="20">T62-T61</f>
        <v>58.783653846153811</v>
      </c>
      <c r="U63" s="237">
        <f t="shared" si="20"/>
        <v>-19.378846153846151</v>
      </c>
      <c r="V63" s="237">
        <f t="shared" si="20"/>
        <v>56.04615384615397</v>
      </c>
      <c r="W63" s="237">
        <f t="shared" si="20"/>
        <v>-19.378846153846151</v>
      </c>
      <c r="X63" s="200"/>
      <c r="Y63" s="200"/>
      <c r="Z63" s="200"/>
      <c r="AA63" s="200"/>
      <c r="AB63" s="200"/>
      <c r="AC63" s="200"/>
      <c r="AD63" s="200"/>
    </row>
    <row r="64" spans="1:30" ht="15.75" customHeight="1" thickTop="1" x14ac:dyDescent="0.25">
      <c r="A64" s="174"/>
      <c r="B64" s="174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174"/>
      <c r="P64" s="230"/>
      <c r="Q64" s="174"/>
      <c r="R64" s="200" t="s">
        <v>407</v>
      </c>
      <c r="S64" s="251">
        <f>S61/55</f>
        <v>13.635751748251749</v>
      </c>
      <c r="T64" s="251">
        <f t="shared" ref="T64:W64" si="21">T61/55</f>
        <v>15.749388111888113</v>
      </c>
      <c r="U64" s="251">
        <f t="shared" si="21"/>
        <v>0.35234265734265729</v>
      </c>
      <c r="V64" s="251">
        <f t="shared" si="21"/>
        <v>16.253706293706291</v>
      </c>
      <c r="W64" s="251">
        <f t="shared" si="21"/>
        <v>0.35234265734265729</v>
      </c>
      <c r="X64" s="174"/>
      <c r="Y64" s="174"/>
      <c r="Z64" s="174"/>
      <c r="AA64" s="174"/>
      <c r="AB64" s="174"/>
      <c r="AC64" s="174"/>
      <c r="AD64" s="174"/>
    </row>
    <row r="65" spans="1:30" ht="15.75" customHeight="1" x14ac:dyDescent="0.25">
      <c r="A65" s="174" t="s">
        <v>408</v>
      </c>
      <c r="B65" s="174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174"/>
      <c r="P65" s="230"/>
      <c r="Q65" s="174"/>
      <c r="R65" s="200" t="s">
        <v>409</v>
      </c>
      <c r="S65" s="174">
        <v>20</v>
      </c>
      <c r="T65" s="174">
        <v>20</v>
      </c>
      <c r="U65" s="174">
        <v>0</v>
      </c>
      <c r="V65" s="174">
        <v>20</v>
      </c>
      <c r="W65" s="174">
        <v>0</v>
      </c>
      <c r="X65" s="174"/>
      <c r="Y65" s="174"/>
      <c r="Z65" s="174"/>
      <c r="AA65" s="174"/>
      <c r="AB65" s="174"/>
      <c r="AC65" s="174"/>
      <c r="AD65" s="174"/>
    </row>
    <row r="66" spans="1:30" ht="15.75" customHeight="1" x14ac:dyDescent="0.2">
      <c r="A66" s="174"/>
      <c r="B66" s="174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174"/>
      <c r="P66" s="230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</row>
    <row r="67" spans="1:30" ht="15.75" customHeight="1" x14ac:dyDescent="0.2">
      <c r="A67" s="174"/>
      <c r="B67" s="174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174"/>
      <c r="P67" s="230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</row>
    <row r="68" spans="1:30" ht="15.75" customHeight="1" x14ac:dyDescent="0.2">
      <c r="A68" s="174"/>
      <c r="B68" s="174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174"/>
      <c r="P68" s="230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</row>
    <row r="69" spans="1:30" ht="15.75" customHeight="1" x14ac:dyDescent="0.2">
      <c r="A69" s="174"/>
      <c r="B69" s="174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174"/>
      <c r="P69" s="230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</row>
    <row r="70" spans="1:30" ht="15.75" customHeight="1" x14ac:dyDescent="0.2">
      <c r="A70" s="174"/>
      <c r="B70" s="174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174"/>
      <c r="P70" s="230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</row>
    <row r="71" spans="1:30" ht="15.75" customHeight="1" x14ac:dyDescent="0.2">
      <c r="A71" s="174"/>
      <c r="B71" s="174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174"/>
      <c r="P71" s="230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</row>
    <row r="72" spans="1:30" ht="15.75" customHeight="1" x14ac:dyDescent="0.2">
      <c r="A72" s="174"/>
      <c r="B72" s="174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174"/>
      <c r="P72" s="230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</row>
    <row r="73" spans="1:30" ht="15.75" customHeight="1" x14ac:dyDescent="0.2">
      <c r="A73" s="174"/>
      <c r="B73" s="174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174"/>
      <c r="P73" s="230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</row>
    <row r="74" spans="1:30" ht="15.75" customHeight="1" x14ac:dyDescent="0.2">
      <c r="A74" s="174"/>
      <c r="B74" s="174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174"/>
      <c r="P74" s="230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</row>
    <row r="75" spans="1:30" ht="15.75" customHeight="1" x14ac:dyDescent="0.2">
      <c r="A75" s="174"/>
      <c r="B75" s="174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174"/>
      <c r="P75" s="230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</row>
    <row r="76" spans="1:30" ht="15.75" customHeight="1" x14ac:dyDescent="0.2">
      <c r="A76" s="174"/>
      <c r="B76" s="174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174"/>
      <c r="P76" s="230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</row>
    <row r="77" spans="1:30" ht="15.75" customHeight="1" x14ac:dyDescent="0.2">
      <c r="A77" s="174"/>
      <c r="B77" s="174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174"/>
      <c r="P77" s="230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</row>
    <row r="78" spans="1:30" ht="15.75" customHeight="1" x14ac:dyDescent="0.2">
      <c r="A78" s="174"/>
      <c r="B78" s="174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174"/>
      <c r="P78" s="230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</row>
    <row r="79" spans="1:30" ht="15.75" customHeight="1" x14ac:dyDescent="0.2">
      <c r="A79" s="174"/>
      <c r="B79" s="174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174"/>
      <c r="P79" s="230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</row>
    <row r="80" spans="1:30" ht="15.75" customHeight="1" x14ac:dyDescent="0.2">
      <c r="A80" s="174"/>
      <c r="B80" s="174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174"/>
      <c r="P80" s="230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ht="15.75" customHeight="1" x14ac:dyDescent="0.2">
      <c r="A81" s="174"/>
      <c r="B81" s="174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174"/>
      <c r="P81" s="230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</row>
    <row r="82" spans="1:30" ht="15.75" customHeight="1" x14ac:dyDescent="0.2">
      <c r="A82" s="174"/>
      <c r="B82" s="174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174"/>
      <c r="P82" s="230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</row>
    <row r="83" spans="1:30" ht="15.75" customHeight="1" x14ac:dyDescent="0.2">
      <c r="A83" s="174"/>
      <c r="B83" s="174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174"/>
      <c r="P83" s="230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</row>
    <row r="84" spans="1:30" ht="15.75" customHeight="1" x14ac:dyDescent="0.2">
      <c r="A84" s="174"/>
      <c r="B84" s="174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174"/>
      <c r="P84" s="230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</row>
    <row r="85" spans="1:30" ht="15.75" customHeight="1" x14ac:dyDescent="0.2">
      <c r="A85" s="174"/>
      <c r="B85" s="174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174"/>
      <c r="P85" s="230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</row>
    <row r="86" spans="1:30" ht="15.75" customHeight="1" x14ac:dyDescent="0.2">
      <c r="A86" s="174"/>
      <c r="B86" s="174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174"/>
      <c r="P86" s="230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</row>
    <row r="87" spans="1:30" ht="15.75" customHeight="1" x14ac:dyDescent="0.2">
      <c r="A87" s="174"/>
      <c r="B87" s="174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174"/>
      <c r="P87" s="230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</row>
    <row r="88" spans="1:30" ht="15.75" customHeight="1" x14ac:dyDescent="0.2">
      <c r="A88" s="174"/>
      <c r="B88" s="174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174"/>
      <c r="P88" s="230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</row>
    <row r="89" spans="1:30" ht="15.75" customHeight="1" x14ac:dyDescent="0.2">
      <c r="A89" s="174"/>
      <c r="B89" s="174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174"/>
      <c r="P89" s="230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</row>
    <row r="90" spans="1:30" ht="15.75" customHeight="1" x14ac:dyDescent="0.2">
      <c r="A90" s="174"/>
      <c r="B90" s="174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174"/>
      <c r="P90" s="230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</row>
    <row r="91" spans="1:30" ht="15.75" customHeight="1" x14ac:dyDescent="0.2">
      <c r="A91" s="174"/>
      <c r="B91" s="174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174"/>
      <c r="P91" s="230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</row>
    <row r="92" spans="1:30" ht="15.75" customHeight="1" x14ac:dyDescent="0.2">
      <c r="A92" s="174"/>
      <c r="B92" s="174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174"/>
      <c r="P92" s="230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</row>
    <row r="93" spans="1:30" ht="15.75" customHeight="1" x14ac:dyDescent="0.2">
      <c r="A93" s="174"/>
      <c r="B93" s="174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174"/>
      <c r="P93" s="230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</row>
    <row r="94" spans="1:30" ht="15.75" customHeight="1" x14ac:dyDescent="0.2">
      <c r="A94" s="174"/>
      <c r="B94" s="174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174"/>
      <c r="P94" s="230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</row>
    <row r="95" spans="1:30" ht="15.75" customHeight="1" x14ac:dyDescent="0.2">
      <c r="A95" s="174"/>
      <c r="B95" s="174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174"/>
      <c r="P95" s="230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</row>
    <row r="96" spans="1:30" ht="15.75" customHeight="1" x14ac:dyDescent="0.2">
      <c r="A96" s="174"/>
      <c r="B96" s="174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174"/>
      <c r="P96" s="230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</row>
    <row r="97" spans="1:30" ht="15.75" customHeight="1" x14ac:dyDescent="0.2">
      <c r="A97" s="174"/>
      <c r="B97" s="174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174"/>
      <c r="P97" s="230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</row>
    <row r="98" spans="1:30" ht="15.75" customHeight="1" x14ac:dyDescent="0.2">
      <c r="A98" s="174"/>
      <c r="B98" s="174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174"/>
      <c r="P98" s="230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</row>
    <row r="99" spans="1:30" ht="15.75" customHeight="1" x14ac:dyDescent="0.2">
      <c r="A99" s="174"/>
      <c r="B99" s="174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174"/>
      <c r="P99" s="230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</row>
    <row r="100" spans="1:30" ht="15.75" customHeight="1" x14ac:dyDescent="0.2">
      <c r="A100" s="174"/>
      <c r="B100" s="174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174"/>
      <c r="P100" s="230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</row>
    <row r="101" spans="1:30" ht="15.75" customHeight="1" x14ac:dyDescent="0.2">
      <c r="A101" s="174"/>
      <c r="B101" s="174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174"/>
      <c r="P101" s="230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</row>
    <row r="102" spans="1:30" ht="15.75" customHeight="1" x14ac:dyDescent="0.2">
      <c r="A102" s="174"/>
      <c r="B102" s="174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174"/>
      <c r="P102" s="230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</row>
    <row r="103" spans="1:30" ht="15.75" customHeight="1" x14ac:dyDescent="0.2">
      <c r="A103" s="174"/>
      <c r="B103" s="174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174"/>
      <c r="P103" s="230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</row>
    <row r="104" spans="1:30" ht="15.75" customHeight="1" x14ac:dyDescent="0.2">
      <c r="A104" s="174"/>
      <c r="B104" s="174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174"/>
      <c r="P104" s="230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</row>
    <row r="105" spans="1:30" ht="15.75" customHeight="1" x14ac:dyDescent="0.2">
      <c r="A105" s="174"/>
      <c r="B105" s="174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174"/>
      <c r="P105" s="230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</row>
    <row r="106" spans="1:30" ht="15.75" customHeight="1" x14ac:dyDescent="0.2">
      <c r="A106" s="174"/>
      <c r="B106" s="174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174"/>
      <c r="P106" s="230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</row>
    <row r="107" spans="1:30" ht="15.75" customHeight="1" x14ac:dyDescent="0.2">
      <c r="A107" s="174"/>
      <c r="B107" s="174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174"/>
      <c r="P107" s="230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</row>
    <row r="108" spans="1:30" ht="15.75" customHeight="1" x14ac:dyDescent="0.2">
      <c r="A108" s="174"/>
      <c r="B108" s="174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174"/>
      <c r="P108" s="230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</row>
    <row r="109" spans="1:30" ht="15.75" customHeight="1" x14ac:dyDescent="0.2">
      <c r="A109" s="174"/>
      <c r="B109" s="174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174"/>
      <c r="P109" s="230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</row>
    <row r="110" spans="1:30" ht="15.75" customHeight="1" x14ac:dyDescent="0.2">
      <c r="A110" s="174"/>
      <c r="B110" s="174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174"/>
      <c r="P110" s="230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</row>
    <row r="111" spans="1:30" ht="15.75" customHeight="1" x14ac:dyDescent="0.2">
      <c r="A111" s="174"/>
      <c r="B111" s="174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174"/>
      <c r="P111" s="230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</row>
    <row r="112" spans="1:30" ht="15.75" customHeight="1" x14ac:dyDescent="0.2">
      <c r="A112" s="174"/>
      <c r="B112" s="174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174"/>
      <c r="P112" s="230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</row>
    <row r="113" spans="1:30" ht="15.75" customHeight="1" x14ac:dyDescent="0.2">
      <c r="A113" s="174"/>
      <c r="B113" s="174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174"/>
      <c r="P113" s="230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</row>
    <row r="114" spans="1:30" ht="15.75" customHeight="1" x14ac:dyDescent="0.2">
      <c r="A114" s="174"/>
      <c r="B114" s="174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174"/>
      <c r="P114" s="230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</row>
    <row r="115" spans="1:30" ht="15.75" customHeight="1" x14ac:dyDescent="0.2">
      <c r="A115" s="174"/>
      <c r="B115" s="174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</row>
    <row r="116" spans="1:30" ht="15.75" customHeight="1" x14ac:dyDescent="0.2">
      <c r="A116" s="174"/>
      <c r="B116" s="174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</row>
    <row r="117" spans="1:30" ht="15.75" customHeight="1" x14ac:dyDescent="0.2">
      <c r="A117" s="174"/>
      <c r="B117" s="174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</row>
    <row r="118" spans="1:30" ht="15.75" customHeight="1" x14ac:dyDescent="0.2">
      <c r="A118" s="174"/>
      <c r="B118" s="174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</row>
    <row r="119" spans="1:30" ht="15.75" customHeight="1" x14ac:dyDescent="0.2">
      <c r="A119" s="174"/>
      <c r="B119" s="174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</row>
    <row r="120" spans="1:30" ht="15.75" customHeight="1" x14ac:dyDescent="0.2">
      <c r="A120" s="174"/>
      <c r="B120" s="174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</row>
    <row r="121" spans="1:30" ht="15.75" customHeight="1" x14ac:dyDescent="0.2">
      <c r="A121" s="174"/>
      <c r="B121" s="174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</row>
    <row r="122" spans="1:30" ht="15.75" customHeight="1" x14ac:dyDescent="0.2">
      <c r="A122" s="174"/>
      <c r="B122" s="174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</row>
    <row r="123" spans="1:30" ht="15.75" customHeight="1" x14ac:dyDescent="0.2">
      <c r="A123" s="174"/>
      <c r="B123" s="174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</row>
    <row r="124" spans="1:30" ht="15.75" customHeight="1" x14ac:dyDescent="0.2">
      <c r="A124" s="174"/>
      <c r="B124" s="174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</row>
    <row r="125" spans="1:30" ht="15.75" customHeight="1" x14ac:dyDescent="0.2">
      <c r="A125" s="174"/>
      <c r="B125" s="174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</row>
    <row r="126" spans="1:30" ht="15.75" customHeight="1" x14ac:dyDescent="0.2">
      <c r="A126" s="174"/>
      <c r="B126" s="174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</row>
    <row r="127" spans="1:30" ht="15.75" customHeight="1" x14ac:dyDescent="0.2">
      <c r="A127" s="174"/>
      <c r="B127" s="174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</row>
    <row r="128" spans="1:30" ht="15.75" customHeight="1" x14ac:dyDescent="0.2">
      <c r="A128" s="174"/>
      <c r="B128" s="174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</row>
    <row r="129" spans="1:30" ht="15.75" customHeight="1" x14ac:dyDescent="0.2">
      <c r="A129" s="174"/>
      <c r="B129" s="174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</row>
    <row r="130" spans="1:30" ht="15.75" customHeight="1" x14ac:dyDescent="0.2">
      <c r="A130" s="174"/>
      <c r="B130" s="174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</row>
    <row r="131" spans="1:30" ht="15.75" customHeight="1" x14ac:dyDescent="0.2">
      <c r="A131" s="174"/>
      <c r="B131" s="174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</row>
    <row r="132" spans="1:30" ht="15.75" customHeight="1" x14ac:dyDescent="0.2">
      <c r="A132" s="174"/>
      <c r="B132" s="174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</row>
    <row r="133" spans="1:30" ht="15.75" customHeight="1" x14ac:dyDescent="0.2">
      <c r="A133" s="174"/>
      <c r="B133" s="174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</row>
    <row r="134" spans="1:30" ht="15.75" customHeight="1" x14ac:dyDescent="0.2">
      <c r="A134" s="174"/>
      <c r="B134" s="174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</row>
    <row r="135" spans="1:30" ht="15.75" customHeight="1" x14ac:dyDescent="0.2">
      <c r="A135" s="174"/>
      <c r="B135" s="174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</row>
    <row r="136" spans="1:30" ht="15.75" customHeight="1" x14ac:dyDescent="0.2">
      <c r="A136" s="174"/>
      <c r="B136" s="174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</row>
    <row r="137" spans="1:30" ht="15.75" customHeight="1" x14ac:dyDescent="0.2">
      <c r="A137" s="174"/>
      <c r="B137" s="174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</row>
    <row r="138" spans="1:30" ht="15.75" customHeight="1" x14ac:dyDescent="0.2">
      <c r="A138" s="174"/>
      <c r="B138" s="174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</row>
    <row r="139" spans="1:30" ht="15.75" customHeight="1" x14ac:dyDescent="0.2">
      <c r="A139" s="174"/>
      <c r="B139" s="174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</row>
    <row r="140" spans="1:30" ht="15.75" customHeight="1" x14ac:dyDescent="0.2">
      <c r="A140" s="174"/>
      <c r="B140" s="174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</row>
    <row r="141" spans="1:30" ht="15.75" customHeight="1" x14ac:dyDescent="0.2">
      <c r="A141" s="174"/>
      <c r="B141" s="174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</row>
    <row r="142" spans="1:30" ht="15.75" customHeight="1" x14ac:dyDescent="0.2">
      <c r="A142" s="174"/>
      <c r="B142" s="174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</row>
    <row r="143" spans="1:30" ht="15.75" customHeight="1" x14ac:dyDescent="0.2">
      <c r="A143" s="174"/>
      <c r="B143" s="174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</row>
    <row r="144" spans="1:30" ht="15.75" customHeight="1" x14ac:dyDescent="0.2">
      <c r="A144" s="174"/>
      <c r="B144" s="174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</row>
    <row r="145" spans="1:30" ht="15.75" customHeight="1" x14ac:dyDescent="0.2">
      <c r="A145" s="174"/>
      <c r="B145" s="174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</row>
    <row r="146" spans="1:30" ht="15.75" customHeight="1" x14ac:dyDescent="0.2">
      <c r="A146" s="174"/>
      <c r="B146" s="174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</row>
    <row r="147" spans="1:30" ht="15.75" customHeight="1" x14ac:dyDescent="0.2">
      <c r="A147" s="174"/>
      <c r="B147" s="174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</row>
    <row r="148" spans="1:30" ht="15.75" customHeight="1" x14ac:dyDescent="0.2">
      <c r="A148" s="174"/>
      <c r="B148" s="174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</row>
    <row r="149" spans="1:30" ht="15.75" customHeight="1" x14ac:dyDescent="0.2">
      <c r="A149" s="174"/>
      <c r="B149" s="174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</row>
    <row r="150" spans="1:30" ht="15.75" customHeight="1" x14ac:dyDescent="0.2">
      <c r="A150" s="174"/>
      <c r="B150" s="174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</row>
    <row r="151" spans="1:30" ht="15.75" customHeight="1" x14ac:dyDescent="0.2">
      <c r="A151" s="174"/>
      <c r="B151" s="174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</row>
    <row r="152" spans="1:30" ht="15.75" customHeight="1" x14ac:dyDescent="0.2">
      <c r="A152" s="174"/>
      <c r="B152" s="174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</row>
    <row r="153" spans="1:30" ht="15.75" customHeight="1" x14ac:dyDescent="0.2">
      <c r="A153" s="174"/>
      <c r="B153" s="174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</row>
    <row r="154" spans="1:30" ht="15.75" customHeight="1" x14ac:dyDescent="0.2">
      <c r="A154" s="174"/>
      <c r="B154" s="174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</row>
    <row r="155" spans="1:30" ht="15.75" customHeight="1" x14ac:dyDescent="0.2">
      <c r="A155" s="174"/>
      <c r="B155" s="174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</row>
    <row r="156" spans="1:30" ht="15.75" customHeight="1" x14ac:dyDescent="0.2">
      <c r="A156" s="174"/>
      <c r="B156" s="174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</row>
    <row r="157" spans="1:30" ht="15.75" customHeight="1" x14ac:dyDescent="0.2">
      <c r="A157" s="174"/>
      <c r="B157" s="174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</row>
    <row r="158" spans="1:30" ht="15.75" customHeight="1" x14ac:dyDescent="0.2">
      <c r="A158" s="174"/>
      <c r="B158" s="174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</row>
    <row r="159" spans="1:30" ht="15.75" customHeight="1" x14ac:dyDescent="0.2">
      <c r="A159" s="174"/>
      <c r="B159" s="174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</row>
    <row r="160" spans="1:30" ht="15.75" customHeight="1" x14ac:dyDescent="0.2">
      <c r="A160" s="174"/>
      <c r="B160" s="174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</row>
    <row r="161" spans="1:30" ht="15.75" customHeight="1" x14ac:dyDescent="0.2">
      <c r="A161" s="174"/>
      <c r="B161" s="174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</row>
    <row r="162" spans="1:30" ht="15.75" customHeight="1" x14ac:dyDescent="0.2">
      <c r="A162" s="174"/>
      <c r="B162" s="174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</row>
    <row r="163" spans="1:30" ht="15.75" customHeight="1" x14ac:dyDescent="0.2">
      <c r="A163" s="174"/>
      <c r="B163" s="174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</row>
    <row r="164" spans="1:30" ht="15.75" customHeight="1" x14ac:dyDescent="0.2">
      <c r="A164" s="174"/>
      <c r="B164" s="174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</row>
    <row r="165" spans="1:30" ht="15.75" customHeight="1" x14ac:dyDescent="0.2">
      <c r="A165" s="174"/>
      <c r="B165" s="174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</row>
    <row r="166" spans="1:30" ht="15.75" customHeight="1" x14ac:dyDescent="0.2">
      <c r="A166" s="174"/>
      <c r="B166" s="174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</row>
    <row r="167" spans="1:30" ht="15.75" customHeight="1" x14ac:dyDescent="0.2">
      <c r="A167" s="174"/>
      <c r="B167" s="174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</row>
    <row r="168" spans="1:30" ht="15.75" customHeight="1" x14ac:dyDescent="0.2">
      <c r="A168" s="174"/>
      <c r="B168" s="174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</row>
    <row r="169" spans="1:30" ht="15.75" customHeight="1" x14ac:dyDescent="0.2">
      <c r="A169" s="174"/>
      <c r="B169" s="174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</row>
    <row r="170" spans="1:30" ht="15.75" customHeight="1" x14ac:dyDescent="0.2">
      <c r="A170" s="174"/>
      <c r="B170" s="174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</row>
    <row r="171" spans="1:30" ht="15.75" customHeight="1" x14ac:dyDescent="0.2">
      <c r="A171" s="174"/>
      <c r="B171" s="174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</row>
    <row r="172" spans="1:30" ht="15.75" customHeight="1" x14ac:dyDescent="0.2">
      <c r="A172" s="174"/>
      <c r="B172" s="174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</row>
    <row r="173" spans="1:30" ht="15.75" customHeight="1" x14ac:dyDescent="0.2">
      <c r="A173" s="174"/>
      <c r="B173" s="174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</row>
    <row r="174" spans="1:30" ht="15.75" customHeight="1" x14ac:dyDescent="0.2">
      <c r="A174" s="174"/>
      <c r="B174" s="174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</row>
    <row r="175" spans="1:30" ht="15.75" customHeight="1" x14ac:dyDescent="0.2">
      <c r="A175" s="174"/>
      <c r="B175" s="174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</row>
    <row r="176" spans="1:30" ht="15.75" customHeight="1" x14ac:dyDescent="0.2">
      <c r="A176" s="174"/>
      <c r="B176" s="174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</row>
    <row r="177" spans="1:30" ht="15.75" customHeight="1" x14ac:dyDescent="0.2">
      <c r="A177" s="174"/>
      <c r="B177" s="174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</row>
    <row r="178" spans="1:30" ht="15.75" customHeight="1" x14ac:dyDescent="0.2">
      <c r="A178" s="174"/>
      <c r="B178" s="174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</row>
    <row r="179" spans="1:30" ht="15.75" customHeight="1" x14ac:dyDescent="0.2">
      <c r="A179" s="174"/>
      <c r="B179" s="174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</row>
    <row r="180" spans="1:30" ht="15.75" customHeight="1" x14ac:dyDescent="0.2">
      <c r="A180" s="174"/>
      <c r="B180" s="174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</row>
    <row r="181" spans="1:30" ht="15.75" customHeight="1" x14ac:dyDescent="0.2">
      <c r="A181" s="174"/>
      <c r="B181" s="174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</row>
    <row r="182" spans="1:30" ht="15.75" customHeight="1" x14ac:dyDescent="0.2">
      <c r="A182" s="174"/>
      <c r="B182" s="174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</row>
    <row r="183" spans="1:30" ht="15.75" customHeight="1" x14ac:dyDescent="0.2">
      <c r="A183" s="174"/>
      <c r="B183" s="174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</row>
    <row r="184" spans="1:30" ht="15.75" customHeight="1" x14ac:dyDescent="0.2">
      <c r="A184" s="174"/>
      <c r="B184" s="174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</row>
    <row r="185" spans="1:30" ht="15.75" customHeight="1" x14ac:dyDescent="0.2">
      <c r="A185" s="174"/>
      <c r="B185" s="174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</row>
    <row r="186" spans="1:30" ht="15.75" customHeight="1" x14ac:dyDescent="0.2">
      <c r="A186" s="174"/>
      <c r="B186" s="174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</row>
    <row r="187" spans="1:30" ht="15.75" customHeight="1" x14ac:dyDescent="0.2">
      <c r="A187" s="174"/>
      <c r="B187" s="174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</row>
    <row r="188" spans="1:30" ht="15.75" customHeight="1" x14ac:dyDescent="0.2">
      <c r="A188" s="174"/>
      <c r="B188" s="174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</row>
    <row r="189" spans="1:30" ht="15.75" customHeight="1" x14ac:dyDescent="0.2">
      <c r="A189" s="174"/>
      <c r="B189" s="174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</row>
    <row r="190" spans="1:30" ht="15.75" customHeight="1" x14ac:dyDescent="0.2">
      <c r="A190" s="174"/>
      <c r="B190" s="174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</row>
    <row r="191" spans="1:30" ht="15.75" customHeight="1" x14ac:dyDescent="0.2">
      <c r="A191" s="174"/>
      <c r="B191" s="174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</row>
    <row r="192" spans="1:30" ht="15.75" customHeight="1" x14ac:dyDescent="0.2">
      <c r="A192" s="174"/>
      <c r="B192" s="174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</row>
    <row r="193" spans="1:30" ht="15.75" customHeight="1" x14ac:dyDescent="0.2">
      <c r="A193" s="174"/>
      <c r="B193" s="174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</row>
    <row r="194" spans="1:30" ht="15.75" customHeight="1" x14ac:dyDescent="0.2">
      <c r="A194" s="174"/>
      <c r="B194" s="174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</row>
    <row r="195" spans="1:30" ht="15.75" customHeight="1" x14ac:dyDescent="0.2">
      <c r="A195" s="174"/>
      <c r="B195" s="174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</row>
    <row r="196" spans="1:30" ht="15.75" customHeight="1" x14ac:dyDescent="0.2">
      <c r="A196" s="174"/>
      <c r="B196" s="174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</row>
    <row r="197" spans="1:30" ht="15.75" customHeight="1" x14ac:dyDescent="0.2">
      <c r="A197" s="174"/>
      <c r="B197" s="174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</row>
    <row r="198" spans="1:30" ht="15.75" customHeight="1" x14ac:dyDescent="0.2">
      <c r="A198" s="174"/>
      <c r="B198" s="174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</row>
    <row r="199" spans="1:30" ht="15.75" customHeight="1" x14ac:dyDescent="0.2">
      <c r="A199" s="174"/>
      <c r="B199" s="174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</row>
    <row r="200" spans="1:30" ht="15.75" customHeight="1" x14ac:dyDescent="0.2">
      <c r="A200" s="174"/>
      <c r="B200" s="174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</row>
    <row r="201" spans="1:30" ht="15.75" customHeight="1" x14ac:dyDescent="0.2">
      <c r="A201" s="174"/>
      <c r="B201" s="174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</row>
    <row r="202" spans="1:30" ht="15.75" customHeight="1" x14ac:dyDescent="0.2">
      <c r="A202" s="174"/>
      <c r="B202" s="174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</row>
    <row r="203" spans="1:30" ht="15.75" customHeight="1" x14ac:dyDescent="0.2">
      <c r="A203" s="174"/>
      <c r="B203" s="174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</row>
    <row r="204" spans="1:30" ht="15.75" customHeight="1" x14ac:dyDescent="0.2">
      <c r="A204" s="174"/>
      <c r="B204" s="174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</row>
    <row r="205" spans="1:30" ht="15.75" customHeight="1" x14ac:dyDescent="0.2">
      <c r="A205" s="174"/>
      <c r="B205" s="174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</row>
    <row r="206" spans="1:30" ht="15.75" customHeight="1" x14ac:dyDescent="0.2">
      <c r="A206" s="174"/>
      <c r="B206" s="174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</row>
    <row r="207" spans="1:30" ht="15.75" customHeight="1" x14ac:dyDescent="0.2">
      <c r="A207" s="174"/>
      <c r="B207" s="174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</row>
    <row r="208" spans="1:30" ht="15.75" customHeight="1" x14ac:dyDescent="0.2">
      <c r="A208" s="174"/>
      <c r="B208" s="174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</row>
    <row r="209" spans="1:30" ht="15.75" customHeight="1" x14ac:dyDescent="0.2">
      <c r="A209" s="174"/>
      <c r="B209" s="174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</row>
    <row r="210" spans="1:30" ht="15.75" customHeight="1" x14ac:dyDescent="0.2">
      <c r="A210" s="174"/>
      <c r="B210" s="174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</row>
    <row r="211" spans="1:30" ht="15.75" customHeight="1" x14ac:dyDescent="0.2">
      <c r="A211" s="174"/>
      <c r="B211" s="174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</row>
    <row r="212" spans="1:30" ht="15.75" customHeight="1" x14ac:dyDescent="0.2">
      <c r="A212" s="174"/>
      <c r="B212" s="174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</row>
    <row r="213" spans="1:30" ht="15.75" customHeight="1" x14ac:dyDescent="0.2">
      <c r="A213" s="174"/>
      <c r="B213" s="174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</row>
    <row r="214" spans="1:30" ht="15.75" customHeight="1" x14ac:dyDescent="0.2">
      <c r="A214" s="174"/>
      <c r="B214" s="174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</row>
    <row r="215" spans="1:30" ht="15.75" customHeight="1" x14ac:dyDescent="0.2">
      <c r="A215" s="174"/>
      <c r="B215" s="174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</row>
    <row r="216" spans="1:30" ht="15.75" customHeight="1" x14ac:dyDescent="0.2">
      <c r="A216" s="174"/>
      <c r="B216" s="174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</row>
    <row r="217" spans="1:30" ht="15.75" customHeight="1" x14ac:dyDescent="0.2">
      <c r="A217" s="174"/>
      <c r="B217" s="174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</row>
    <row r="218" spans="1:30" ht="15.75" customHeight="1" x14ac:dyDescent="0.2">
      <c r="A218" s="174"/>
      <c r="B218" s="174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</row>
    <row r="219" spans="1:30" ht="15.75" customHeight="1" x14ac:dyDescent="0.2">
      <c r="A219" s="174"/>
      <c r="B219" s="174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</row>
    <row r="220" spans="1:30" ht="15.75" customHeight="1" x14ac:dyDescent="0.2">
      <c r="A220" s="174"/>
      <c r="B220" s="174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</row>
    <row r="221" spans="1:30" ht="15.75" customHeight="1" x14ac:dyDescent="0.2">
      <c r="A221" s="174"/>
      <c r="B221" s="174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</row>
    <row r="222" spans="1:30" ht="15.75" customHeight="1" x14ac:dyDescent="0.2">
      <c r="A222" s="174"/>
      <c r="B222" s="174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</row>
    <row r="223" spans="1:30" ht="15.75" customHeight="1" x14ac:dyDescent="0.2">
      <c r="A223" s="174"/>
      <c r="B223" s="174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</row>
    <row r="224" spans="1:30" ht="15.75" customHeight="1" x14ac:dyDescent="0.2">
      <c r="A224" s="174"/>
      <c r="B224" s="174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</row>
    <row r="225" spans="1:30" ht="15.75" customHeight="1" x14ac:dyDescent="0.2">
      <c r="A225" s="174"/>
      <c r="B225" s="174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</row>
    <row r="226" spans="1:30" ht="15.75" customHeight="1" x14ac:dyDescent="0.2">
      <c r="A226" s="174"/>
      <c r="B226" s="174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</row>
    <row r="227" spans="1:30" ht="15.75" customHeight="1" x14ac:dyDescent="0.2">
      <c r="A227" s="174"/>
      <c r="B227" s="174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</row>
    <row r="228" spans="1:30" ht="15.75" customHeight="1" x14ac:dyDescent="0.2">
      <c r="A228" s="174"/>
      <c r="B228" s="174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</row>
    <row r="229" spans="1:30" ht="15.75" customHeight="1" x14ac:dyDescent="0.2">
      <c r="A229" s="174"/>
      <c r="B229" s="174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</row>
    <row r="230" spans="1:30" ht="15.75" customHeight="1" x14ac:dyDescent="0.2">
      <c r="A230" s="174"/>
      <c r="B230" s="174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</row>
    <row r="231" spans="1:30" ht="15.75" customHeight="1" x14ac:dyDescent="0.2">
      <c r="A231" s="174"/>
      <c r="B231" s="174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</row>
    <row r="232" spans="1:30" ht="15.75" customHeight="1" x14ac:dyDescent="0.2">
      <c r="A232" s="174"/>
      <c r="B232" s="174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</row>
    <row r="233" spans="1:30" ht="15.75" customHeight="1" x14ac:dyDescent="0.2">
      <c r="A233" s="174"/>
      <c r="B233" s="174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</row>
    <row r="234" spans="1:30" ht="15.75" customHeight="1" x14ac:dyDescent="0.2">
      <c r="A234" s="174"/>
      <c r="B234" s="174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</row>
    <row r="235" spans="1:30" ht="15.75" customHeight="1" x14ac:dyDescent="0.2">
      <c r="A235" s="174"/>
      <c r="B235" s="174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</row>
    <row r="236" spans="1:30" ht="15.75" customHeight="1" x14ac:dyDescent="0.2">
      <c r="A236" s="174"/>
      <c r="B236" s="174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</row>
    <row r="237" spans="1:30" ht="15.75" customHeight="1" x14ac:dyDescent="0.2">
      <c r="A237" s="174"/>
      <c r="B237" s="174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</row>
    <row r="238" spans="1:30" ht="15.75" customHeight="1" x14ac:dyDescent="0.2">
      <c r="A238" s="174"/>
      <c r="B238" s="174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</row>
    <row r="239" spans="1:30" ht="15.75" customHeight="1" x14ac:dyDescent="0.2">
      <c r="A239" s="174"/>
      <c r="B239" s="174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</row>
    <row r="240" spans="1:30" ht="15.75" customHeight="1" x14ac:dyDescent="0.2">
      <c r="A240" s="174"/>
      <c r="B240" s="174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</row>
    <row r="241" spans="1:30" ht="15.75" customHeight="1" x14ac:dyDescent="0.2">
      <c r="A241" s="174"/>
      <c r="B241" s="174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</row>
    <row r="242" spans="1:30" ht="15.75" customHeight="1" x14ac:dyDescent="0.2">
      <c r="A242" s="174"/>
      <c r="B242" s="174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</row>
    <row r="243" spans="1:30" ht="15.75" customHeight="1" x14ac:dyDescent="0.2">
      <c r="A243" s="174"/>
      <c r="B243" s="174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</row>
    <row r="244" spans="1:30" ht="15.75" customHeight="1" x14ac:dyDescent="0.2">
      <c r="A244" s="174"/>
      <c r="B244" s="174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</row>
    <row r="245" spans="1:30" ht="15.75" customHeight="1" x14ac:dyDescent="0.2">
      <c r="A245" s="174"/>
      <c r="B245" s="174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</row>
    <row r="246" spans="1:30" ht="15.75" customHeight="1" x14ac:dyDescent="0.2">
      <c r="A246" s="174"/>
      <c r="B246" s="174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</row>
    <row r="247" spans="1:30" ht="15.75" customHeight="1" x14ac:dyDescent="0.2">
      <c r="A247" s="174"/>
      <c r="B247" s="174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</row>
    <row r="248" spans="1:30" ht="15.75" customHeight="1" x14ac:dyDescent="0.2">
      <c r="A248" s="174"/>
      <c r="B248" s="174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4"/>
    </row>
    <row r="249" spans="1:30" ht="15.75" customHeight="1" x14ac:dyDescent="0.2">
      <c r="A249" s="174"/>
      <c r="B249" s="174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</row>
    <row r="250" spans="1:30" ht="15.75" customHeight="1" x14ac:dyDescent="0.2">
      <c r="A250" s="174"/>
      <c r="B250" s="174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D250" s="174"/>
    </row>
    <row r="251" spans="1:30" ht="15.75" customHeight="1" x14ac:dyDescent="0.2">
      <c r="A251" s="174"/>
      <c r="B251" s="174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</row>
    <row r="252" spans="1:30" ht="15.75" customHeight="1" x14ac:dyDescent="0.2">
      <c r="A252" s="174"/>
      <c r="B252" s="174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</row>
    <row r="253" spans="1:30" ht="15.75" customHeight="1" x14ac:dyDescent="0.2">
      <c r="A253" s="174"/>
      <c r="B253" s="174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</row>
    <row r="254" spans="1:30" ht="15.75" customHeight="1" x14ac:dyDescent="0.2">
      <c r="A254" s="174"/>
      <c r="B254" s="174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  <c r="AB254" s="174"/>
      <c r="AC254" s="174"/>
      <c r="AD254" s="174"/>
    </row>
    <row r="255" spans="1:30" ht="15.75" customHeight="1" x14ac:dyDescent="0.2">
      <c r="A255" s="174"/>
      <c r="B255" s="174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  <c r="AB255" s="174"/>
      <c r="AC255" s="174"/>
      <c r="AD255" s="174"/>
    </row>
    <row r="256" spans="1:30" ht="15.75" customHeight="1" x14ac:dyDescent="0.2">
      <c r="A256" s="174"/>
      <c r="B256" s="174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  <c r="AB256" s="174"/>
      <c r="AC256" s="174"/>
      <c r="AD256" s="174"/>
    </row>
    <row r="257" spans="1:30" ht="15.75" customHeight="1" x14ac:dyDescent="0.2">
      <c r="A257" s="174"/>
      <c r="B257" s="174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  <c r="AC257" s="174"/>
      <c r="AD257" s="174"/>
    </row>
    <row r="258" spans="1:30" ht="15.75" customHeight="1" x14ac:dyDescent="0.2">
      <c r="A258" s="174"/>
      <c r="B258" s="174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  <c r="AB258" s="174"/>
      <c r="AC258" s="174"/>
      <c r="AD258" s="174"/>
    </row>
    <row r="259" spans="1:30" ht="15.75" customHeight="1" x14ac:dyDescent="0.2">
      <c r="A259" s="174"/>
      <c r="B259" s="174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</row>
    <row r="260" spans="1:30" ht="15.75" customHeight="1" x14ac:dyDescent="0.2">
      <c r="A260" s="174"/>
      <c r="B260" s="174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</row>
    <row r="261" spans="1:30" ht="15.75" customHeight="1" x14ac:dyDescent="0.2">
      <c r="A261" s="174"/>
      <c r="B261" s="174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</row>
    <row r="262" spans="1:30" ht="15.75" customHeight="1" x14ac:dyDescent="0.2">
      <c r="A262" s="174"/>
      <c r="B262" s="174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  <c r="AC262" s="174"/>
      <c r="AD262" s="174"/>
    </row>
    <row r="263" spans="1:30" ht="15.75" customHeight="1" x14ac:dyDescent="0.2">
      <c r="A263" s="174"/>
      <c r="B263" s="174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</row>
    <row r="264" spans="1:30" ht="15.75" customHeight="1" x14ac:dyDescent="0.2">
      <c r="A264" s="174"/>
      <c r="B264" s="174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</row>
    <row r="265" spans="1:30" ht="15.75" customHeight="1" x14ac:dyDescent="0.2">
      <c r="A265" s="174"/>
      <c r="B265" s="174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</row>
    <row r="266" spans="1:30" ht="15.75" customHeight="1" x14ac:dyDescent="0.2">
      <c r="A266" s="174"/>
      <c r="B266" s="174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4"/>
    </row>
    <row r="267" spans="1:30" ht="15.75" customHeight="1" x14ac:dyDescent="0.2">
      <c r="A267" s="174"/>
      <c r="B267" s="174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</row>
    <row r="268" spans="1:30" ht="15.75" customHeight="1" x14ac:dyDescent="0.2">
      <c r="A268" s="174"/>
      <c r="B268" s="174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  <c r="AC268" s="174"/>
      <c r="AD268" s="174"/>
    </row>
    <row r="269" spans="1:30" ht="15.75" customHeight="1" x14ac:dyDescent="0.2">
      <c r="A269" s="174"/>
      <c r="B269" s="174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</row>
    <row r="270" spans="1:30" ht="15.75" customHeight="1" x14ac:dyDescent="0.2">
      <c r="A270" s="174"/>
      <c r="B270" s="174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74"/>
      <c r="AC270" s="174"/>
      <c r="AD270" s="174"/>
    </row>
    <row r="271" spans="1:30" ht="15.75" customHeight="1" x14ac:dyDescent="0.2">
      <c r="A271" s="174"/>
      <c r="B271" s="174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74"/>
      <c r="AC271" s="174"/>
      <c r="AD271" s="174"/>
    </row>
    <row r="272" spans="1:30" ht="15.75" customHeight="1" x14ac:dyDescent="0.2">
      <c r="A272" s="174"/>
      <c r="B272" s="174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  <c r="AC272" s="174"/>
      <c r="AD272" s="174"/>
    </row>
    <row r="273" spans="1:30" ht="15.75" customHeight="1" x14ac:dyDescent="0.2">
      <c r="A273" s="174"/>
      <c r="B273" s="174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  <c r="AB273" s="174"/>
      <c r="AC273" s="174"/>
      <c r="AD273" s="174"/>
    </row>
    <row r="274" spans="1:30" ht="15.75" customHeight="1" x14ac:dyDescent="0.2">
      <c r="A274" s="174"/>
      <c r="B274" s="174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  <c r="AB274" s="174"/>
      <c r="AC274" s="174"/>
      <c r="AD274" s="174"/>
    </row>
    <row r="275" spans="1:30" ht="15.75" customHeight="1" x14ac:dyDescent="0.2">
      <c r="A275" s="174"/>
      <c r="B275" s="174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  <c r="AC275" s="174"/>
      <c r="AD275" s="174"/>
    </row>
    <row r="276" spans="1:30" ht="15.75" customHeight="1" x14ac:dyDescent="0.2">
      <c r="A276" s="174"/>
      <c r="B276" s="174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</row>
    <row r="277" spans="1:30" ht="15.75" customHeight="1" x14ac:dyDescent="0.2">
      <c r="A277" s="174"/>
      <c r="B277" s="174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</row>
    <row r="278" spans="1:30" ht="15.75" customHeight="1" x14ac:dyDescent="0.2">
      <c r="A278" s="174"/>
      <c r="B278" s="174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</row>
    <row r="279" spans="1:30" ht="15.75" customHeight="1" x14ac:dyDescent="0.2">
      <c r="A279" s="174"/>
      <c r="B279" s="174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</row>
    <row r="280" spans="1:30" ht="15.75" customHeight="1" x14ac:dyDescent="0.2">
      <c r="A280" s="174"/>
      <c r="B280" s="174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</row>
    <row r="281" spans="1:30" ht="15.75" customHeight="1" x14ac:dyDescent="0.2">
      <c r="A281" s="174"/>
      <c r="B281" s="174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</row>
    <row r="282" spans="1:30" ht="15.75" customHeight="1" x14ac:dyDescent="0.2">
      <c r="A282" s="174"/>
      <c r="B282" s="174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</row>
    <row r="283" spans="1:30" ht="15.75" customHeight="1" x14ac:dyDescent="0.2">
      <c r="A283" s="174"/>
      <c r="B283" s="174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</row>
    <row r="284" spans="1:30" ht="15.75" customHeight="1" x14ac:dyDescent="0.2">
      <c r="A284" s="174"/>
      <c r="B284" s="174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</row>
    <row r="285" spans="1:30" ht="15.75" customHeight="1" x14ac:dyDescent="0.2">
      <c r="A285" s="174"/>
      <c r="B285" s="174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</row>
    <row r="286" spans="1:30" ht="15.75" customHeight="1" x14ac:dyDescent="0.2">
      <c r="A286" s="174"/>
      <c r="B286" s="174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D286" s="174"/>
    </row>
    <row r="287" spans="1:30" ht="15.75" customHeight="1" x14ac:dyDescent="0.2">
      <c r="A287" s="174"/>
      <c r="B287" s="174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D287" s="174"/>
    </row>
    <row r="288" spans="1:30" ht="15.75" customHeight="1" x14ac:dyDescent="0.2">
      <c r="A288" s="174"/>
      <c r="B288" s="174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</row>
    <row r="289" spans="1:30" ht="15.75" customHeight="1" x14ac:dyDescent="0.2">
      <c r="A289" s="174"/>
      <c r="B289" s="174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74"/>
      <c r="AC289" s="174"/>
      <c r="AD289" s="174"/>
    </row>
    <row r="290" spans="1:30" ht="15.75" customHeight="1" x14ac:dyDescent="0.2">
      <c r="A290" s="174"/>
      <c r="B290" s="174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  <c r="AB290" s="174"/>
      <c r="AC290" s="174"/>
      <c r="AD290" s="174"/>
    </row>
    <row r="291" spans="1:30" ht="15.75" customHeight="1" x14ac:dyDescent="0.2">
      <c r="A291" s="174"/>
      <c r="B291" s="174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74"/>
      <c r="AC291" s="174"/>
      <c r="AD291" s="174"/>
    </row>
    <row r="292" spans="1:30" ht="15.75" customHeight="1" x14ac:dyDescent="0.2">
      <c r="A292" s="174"/>
      <c r="B292" s="174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  <c r="AB292" s="174"/>
      <c r="AC292" s="174"/>
      <c r="AD292" s="174"/>
    </row>
    <row r="293" spans="1:30" ht="15.75" customHeight="1" x14ac:dyDescent="0.2">
      <c r="A293" s="174"/>
      <c r="B293" s="174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</row>
    <row r="294" spans="1:30" ht="15.75" customHeight="1" x14ac:dyDescent="0.2">
      <c r="A294" s="174"/>
      <c r="B294" s="174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  <c r="AB294" s="174"/>
      <c r="AC294" s="174"/>
      <c r="AD294" s="174"/>
    </row>
    <row r="295" spans="1:30" ht="15.75" customHeight="1" x14ac:dyDescent="0.2">
      <c r="A295" s="174"/>
      <c r="B295" s="174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</row>
    <row r="296" spans="1:30" ht="15.75" customHeight="1" x14ac:dyDescent="0.2">
      <c r="A296" s="174"/>
      <c r="B296" s="174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</row>
    <row r="297" spans="1:30" ht="15.75" customHeight="1" x14ac:dyDescent="0.2">
      <c r="A297" s="174"/>
      <c r="B297" s="174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</row>
    <row r="298" spans="1:30" ht="15.75" customHeight="1" x14ac:dyDescent="0.2">
      <c r="A298" s="174"/>
      <c r="B298" s="174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</row>
    <row r="299" spans="1:30" ht="15.75" customHeight="1" x14ac:dyDescent="0.2">
      <c r="A299" s="174"/>
      <c r="B299" s="174"/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</row>
    <row r="300" spans="1:30" ht="15.75" customHeight="1" x14ac:dyDescent="0.2">
      <c r="A300" s="174"/>
      <c r="B300" s="174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</row>
    <row r="301" spans="1:30" ht="15.75" customHeight="1" x14ac:dyDescent="0.2">
      <c r="A301" s="174"/>
      <c r="B301" s="174"/>
      <c r="C301" s="229"/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</row>
    <row r="302" spans="1:30" ht="15.75" customHeight="1" x14ac:dyDescent="0.2">
      <c r="A302" s="174"/>
      <c r="B302" s="174"/>
      <c r="C302" s="229"/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  <c r="AB302" s="174"/>
      <c r="AC302" s="174"/>
      <c r="AD302" s="174"/>
    </row>
    <row r="303" spans="1:30" ht="15.75" customHeight="1" x14ac:dyDescent="0.2">
      <c r="A303" s="174"/>
      <c r="B303" s="174"/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74"/>
      <c r="AC303" s="174"/>
      <c r="AD303" s="174"/>
    </row>
    <row r="304" spans="1:30" ht="15.75" customHeight="1" x14ac:dyDescent="0.2">
      <c r="A304" s="174"/>
      <c r="B304" s="174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  <c r="AB304" s="174"/>
      <c r="AC304" s="174"/>
      <c r="AD304" s="174"/>
    </row>
    <row r="305" spans="1:30" ht="15.75" customHeight="1" x14ac:dyDescent="0.2">
      <c r="A305" s="174"/>
      <c r="B305" s="174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  <c r="AB305" s="174"/>
      <c r="AC305" s="174"/>
      <c r="AD305" s="174"/>
    </row>
    <row r="306" spans="1:30" ht="15.75" customHeight="1" x14ac:dyDescent="0.2">
      <c r="A306" s="174"/>
      <c r="B306" s="174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74"/>
      <c r="AC306" s="174"/>
      <c r="AD306" s="174"/>
    </row>
    <row r="307" spans="1:30" ht="15.75" customHeight="1" x14ac:dyDescent="0.2">
      <c r="A307" s="174"/>
      <c r="B307" s="174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74"/>
      <c r="AC307" s="174"/>
      <c r="AD307" s="174"/>
    </row>
    <row r="308" spans="1:30" ht="15.75" customHeight="1" x14ac:dyDescent="0.2">
      <c r="A308" s="174"/>
      <c r="B308" s="174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</row>
    <row r="309" spans="1:30" ht="15.75" customHeight="1" x14ac:dyDescent="0.2">
      <c r="A309" s="174"/>
      <c r="B309" s="174"/>
      <c r="C309" s="229"/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</row>
    <row r="310" spans="1:30" ht="15.75" customHeight="1" x14ac:dyDescent="0.2">
      <c r="A310" s="174"/>
      <c r="B310" s="174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74"/>
      <c r="AC310" s="174"/>
      <c r="AD310" s="174"/>
    </row>
    <row r="311" spans="1:30" ht="15.75" customHeight="1" x14ac:dyDescent="0.2">
      <c r="A311" s="174"/>
      <c r="B311" s="174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</row>
    <row r="312" spans="1:30" ht="15.75" customHeight="1" x14ac:dyDescent="0.2">
      <c r="A312" s="174"/>
      <c r="B312" s="174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</row>
    <row r="313" spans="1:30" ht="15.75" customHeight="1" x14ac:dyDescent="0.2">
      <c r="A313" s="174"/>
      <c r="B313" s="174"/>
      <c r="C313" s="229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</row>
    <row r="314" spans="1:30" ht="15.75" customHeight="1" x14ac:dyDescent="0.2">
      <c r="A314" s="174"/>
      <c r="B314" s="174"/>
      <c r="C314" s="229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D314" s="174"/>
    </row>
    <row r="315" spans="1:30" ht="15.75" customHeight="1" x14ac:dyDescent="0.2">
      <c r="A315" s="174"/>
      <c r="B315" s="174"/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</row>
    <row r="316" spans="1:30" ht="15.75" customHeight="1" x14ac:dyDescent="0.2">
      <c r="A316" s="174"/>
      <c r="B316" s="174"/>
      <c r="C316" s="229"/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74"/>
      <c r="AC316" s="174"/>
      <c r="AD316" s="174"/>
    </row>
    <row r="317" spans="1:30" ht="15.75" customHeight="1" x14ac:dyDescent="0.2">
      <c r="A317" s="174"/>
      <c r="B317" s="174"/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</row>
    <row r="318" spans="1:30" ht="15.75" customHeight="1" x14ac:dyDescent="0.2">
      <c r="A318" s="174"/>
      <c r="B318" s="174"/>
      <c r="C318" s="229"/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</row>
    <row r="319" spans="1:30" ht="15.75" customHeight="1" x14ac:dyDescent="0.2">
      <c r="A319" s="174"/>
      <c r="B319" s="174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74"/>
      <c r="AC319" s="174"/>
      <c r="AD319" s="174"/>
    </row>
    <row r="320" spans="1:30" ht="15.75" customHeight="1" x14ac:dyDescent="0.2">
      <c r="A320" s="174"/>
      <c r="B320" s="174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</row>
    <row r="321" spans="1:30" ht="15.75" customHeight="1" x14ac:dyDescent="0.2">
      <c r="A321" s="174"/>
      <c r="B321" s="174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74"/>
      <c r="AC321" s="174"/>
      <c r="AD321" s="174"/>
    </row>
    <row r="322" spans="1:30" ht="15.75" customHeight="1" x14ac:dyDescent="0.2">
      <c r="A322" s="174"/>
      <c r="B322" s="174"/>
      <c r="C322" s="229"/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  <c r="AC322" s="174"/>
      <c r="AD322" s="174"/>
    </row>
    <row r="323" spans="1:30" ht="15.75" customHeight="1" x14ac:dyDescent="0.2">
      <c r="A323" s="174"/>
      <c r="B323" s="174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  <c r="AC323" s="174"/>
      <c r="AD323" s="174"/>
    </row>
    <row r="324" spans="1:30" ht="15.75" customHeight="1" x14ac:dyDescent="0.2">
      <c r="A324" s="174"/>
      <c r="B324" s="174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</row>
    <row r="325" spans="1:30" ht="15.75" customHeight="1" x14ac:dyDescent="0.2">
      <c r="A325" s="174"/>
      <c r="B325" s="174"/>
      <c r="C325" s="229"/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</row>
    <row r="326" spans="1:30" ht="15.75" customHeight="1" x14ac:dyDescent="0.2">
      <c r="A326" s="174"/>
      <c r="B326" s="174"/>
      <c r="C326" s="229"/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  <c r="AB326" s="174"/>
      <c r="AC326" s="174"/>
      <c r="AD326" s="174"/>
    </row>
    <row r="327" spans="1:30" ht="15.75" customHeight="1" x14ac:dyDescent="0.2">
      <c r="A327" s="174"/>
      <c r="B327" s="174"/>
      <c r="C327" s="229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</row>
    <row r="328" spans="1:30" ht="15.75" customHeight="1" x14ac:dyDescent="0.2">
      <c r="A328" s="174"/>
      <c r="B328" s="174"/>
      <c r="C328" s="229"/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74"/>
      <c r="AC328" s="174"/>
      <c r="AD328" s="174"/>
    </row>
    <row r="329" spans="1:30" ht="15.75" customHeight="1" x14ac:dyDescent="0.2">
      <c r="A329" s="174"/>
      <c r="B329" s="174"/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</row>
    <row r="330" spans="1:30" ht="15.75" customHeight="1" x14ac:dyDescent="0.2">
      <c r="A330" s="174"/>
      <c r="B330" s="174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74"/>
      <c r="AC330" s="174"/>
      <c r="AD330" s="174"/>
    </row>
    <row r="331" spans="1:30" ht="15.75" customHeight="1" x14ac:dyDescent="0.2">
      <c r="A331" s="174"/>
      <c r="B331" s="174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</row>
    <row r="332" spans="1:30" ht="15.75" customHeight="1" x14ac:dyDescent="0.2">
      <c r="A332" s="174"/>
      <c r="B332" s="174"/>
      <c r="C332" s="229"/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  <c r="AC332" s="174"/>
      <c r="AD332" s="174"/>
    </row>
    <row r="333" spans="1:30" ht="15.75" customHeight="1" x14ac:dyDescent="0.2">
      <c r="A333" s="174"/>
      <c r="B333" s="174"/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</row>
    <row r="334" spans="1:30" ht="15.75" customHeight="1" x14ac:dyDescent="0.2">
      <c r="A334" s="174"/>
      <c r="B334" s="174"/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  <c r="AC334" s="174"/>
      <c r="AD334" s="174"/>
    </row>
    <row r="335" spans="1:30" ht="15.75" customHeight="1" x14ac:dyDescent="0.2">
      <c r="A335" s="174"/>
      <c r="B335" s="174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  <c r="AC335" s="174"/>
      <c r="AD335" s="174"/>
    </row>
    <row r="336" spans="1:30" ht="15.75" customHeight="1" x14ac:dyDescent="0.2">
      <c r="A336" s="174"/>
      <c r="B336" s="174"/>
      <c r="C336" s="229"/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</row>
    <row r="337" spans="1:30" ht="15.75" customHeight="1" x14ac:dyDescent="0.2">
      <c r="A337" s="174"/>
      <c r="B337" s="174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74"/>
      <c r="AC337" s="174"/>
      <c r="AD337" s="174"/>
    </row>
    <row r="338" spans="1:30" ht="15.75" customHeight="1" x14ac:dyDescent="0.2">
      <c r="A338" s="174"/>
      <c r="B338" s="174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  <c r="AC338" s="174"/>
      <c r="AD338" s="174"/>
    </row>
    <row r="339" spans="1:30" ht="15.75" customHeight="1" x14ac:dyDescent="0.2">
      <c r="A339" s="174"/>
      <c r="B339" s="174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74"/>
      <c r="AC339" s="174"/>
      <c r="AD339" s="174"/>
    </row>
    <row r="340" spans="1:30" ht="15.75" customHeight="1" x14ac:dyDescent="0.2">
      <c r="A340" s="174"/>
      <c r="B340" s="174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  <c r="AB340" s="174"/>
      <c r="AC340" s="174"/>
      <c r="AD340" s="174"/>
    </row>
    <row r="341" spans="1:30" ht="15.75" customHeight="1" x14ac:dyDescent="0.2">
      <c r="A341" s="174"/>
      <c r="B341" s="174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  <c r="AB341" s="174"/>
      <c r="AC341" s="174"/>
      <c r="AD341" s="174"/>
    </row>
    <row r="342" spans="1:30" ht="15.75" customHeight="1" x14ac:dyDescent="0.2">
      <c r="A342" s="174"/>
      <c r="B342" s="174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  <c r="AC342" s="174"/>
      <c r="AD342" s="174"/>
    </row>
    <row r="343" spans="1:30" ht="15.75" customHeight="1" x14ac:dyDescent="0.2">
      <c r="A343" s="174"/>
      <c r="B343" s="174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74"/>
      <c r="AC343" s="174"/>
      <c r="AD343" s="174"/>
    </row>
    <row r="344" spans="1:30" ht="15.75" customHeight="1" x14ac:dyDescent="0.2">
      <c r="A344" s="174"/>
      <c r="B344" s="174"/>
      <c r="C344" s="229"/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  <c r="AB344" s="174"/>
      <c r="AC344" s="174"/>
      <c r="AD344" s="174"/>
    </row>
    <row r="345" spans="1:30" ht="15.75" customHeight="1" x14ac:dyDescent="0.2">
      <c r="A345" s="174"/>
      <c r="B345" s="174"/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  <c r="AB345" s="174"/>
      <c r="AC345" s="174"/>
      <c r="AD345" s="174"/>
    </row>
    <row r="346" spans="1:30" ht="15.75" customHeight="1" x14ac:dyDescent="0.2">
      <c r="A346" s="174"/>
      <c r="B346" s="174"/>
      <c r="C346" s="229"/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  <c r="AC346" s="174"/>
      <c r="AD346" s="174"/>
    </row>
    <row r="347" spans="1:30" ht="15.75" customHeight="1" x14ac:dyDescent="0.2">
      <c r="A347" s="174"/>
      <c r="B347" s="174"/>
      <c r="C347" s="229"/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  <c r="AB347" s="174"/>
      <c r="AC347" s="174"/>
      <c r="AD347" s="174"/>
    </row>
    <row r="348" spans="1:30" ht="15.75" customHeight="1" x14ac:dyDescent="0.2">
      <c r="A348" s="174"/>
      <c r="B348" s="174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</row>
    <row r="349" spans="1:30" ht="15.75" customHeight="1" x14ac:dyDescent="0.2">
      <c r="A349" s="174"/>
      <c r="B349" s="174"/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</row>
    <row r="350" spans="1:30" ht="15.75" customHeight="1" x14ac:dyDescent="0.2">
      <c r="A350" s="174"/>
      <c r="B350" s="174"/>
      <c r="C350" s="229"/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B350" s="174"/>
      <c r="AC350" s="174"/>
      <c r="AD350" s="174"/>
    </row>
    <row r="351" spans="1:30" ht="15.75" customHeight="1" x14ac:dyDescent="0.2">
      <c r="A351" s="174"/>
      <c r="B351" s="174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B351" s="174"/>
      <c r="AC351" s="174"/>
      <c r="AD351" s="174"/>
    </row>
    <row r="352" spans="1:30" ht="15.75" customHeight="1" x14ac:dyDescent="0.2">
      <c r="A352" s="174"/>
      <c r="B352" s="174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</row>
    <row r="353" spans="1:30" ht="15.75" customHeight="1" x14ac:dyDescent="0.2">
      <c r="A353" s="174"/>
      <c r="B353" s="174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</row>
    <row r="354" spans="1:30" ht="15.75" customHeight="1" x14ac:dyDescent="0.2">
      <c r="A354" s="174"/>
      <c r="B354" s="174"/>
      <c r="C354" s="229"/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B354" s="174"/>
      <c r="AC354" s="174"/>
      <c r="AD354" s="174"/>
    </row>
    <row r="355" spans="1:30" ht="15.75" customHeight="1" x14ac:dyDescent="0.2">
      <c r="A355" s="174"/>
      <c r="B355" s="174"/>
      <c r="C355" s="229"/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B355" s="174"/>
      <c r="AC355" s="174"/>
      <c r="AD355" s="174"/>
    </row>
    <row r="356" spans="1:30" ht="15.75" customHeight="1" x14ac:dyDescent="0.2">
      <c r="A356" s="174"/>
      <c r="B356" s="174"/>
      <c r="C356" s="229"/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B356" s="174"/>
      <c r="AC356" s="174"/>
      <c r="AD356" s="174"/>
    </row>
    <row r="357" spans="1:30" ht="15.75" customHeight="1" x14ac:dyDescent="0.2">
      <c r="A357" s="174"/>
      <c r="B357" s="174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B357" s="174"/>
      <c r="AC357" s="174"/>
      <c r="AD357" s="174"/>
    </row>
    <row r="358" spans="1:30" ht="15.75" customHeight="1" x14ac:dyDescent="0.2">
      <c r="A358" s="174"/>
      <c r="B358" s="174"/>
      <c r="C358" s="229"/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  <c r="AA358" s="174"/>
      <c r="AB358" s="174"/>
      <c r="AC358" s="174"/>
      <c r="AD358" s="174"/>
    </row>
    <row r="359" spans="1:30" ht="15.75" customHeight="1" x14ac:dyDescent="0.2">
      <c r="A359" s="174"/>
      <c r="B359" s="174"/>
      <c r="C359" s="229"/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  <c r="AA359" s="174"/>
      <c r="AB359" s="174"/>
      <c r="AC359" s="174"/>
      <c r="AD359" s="174"/>
    </row>
    <row r="360" spans="1:30" ht="15.75" customHeight="1" x14ac:dyDescent="0.2">
      <c r="A360" s="174"/>
      <c r="B360" s="174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</row>
    <row r="361" spans="1:30" ht="15.75" customHeight="1" x14ac:dyDescent="0.2">
      <c r="A361" s="174"/>
      <c r="B361" s="174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  <c r="AA361" s="174"/>
      <c r="AB361" s="174"/>
      <c r="AC361" s="174"/>
      <c r="AD361" s="174"/>
    </row>
    <row r="362" spans="1:30" ht="15.75" customHeight="1" x14ac:dyDescent="0.2">
      <c r="A362" s="174"/>
      <c r="B362" s="174"/>
      <c r="C362" s="229"/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B362" s="174"/>
      <c r="AC362" s="174"/>
      <c r="AD362" s="174"/>
    </row>
    <row r="363" spans="1:30" ht="15.75" customHeight="1" x14ac:dyDescent="0.2">
      <c r="A363" s="174"/>
      <c r="B363" s="174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  <c r="AA363" s="174"/>
      <c r="AB363" s="174"/>
      <c r="AC363" s="174"/>
      <c r="AD363" s="174"/>
    </row>
    <row r="364" spans="1:30" ht="15.75" customHeight="1" x14ac:dyDescent="0.2">
      <c r="A364" s="174"/>
      <c r="B364" s="174"/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B364" s="174"/>
      <c r="AC364" s="174"/>
      <c r="AD364" s="174"/>
    </row>
    <row r="365" spans="1:30" ht="15.75" customHeight="1" x14ac:dyDescent="0.2">
      <c r="A365" s="174"/>
      <c r="B365" s="174"/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  <c r="AA365" s="174"/>
      <c r="AB365" s="174"/>
      <c r="AC365" s="174"/>
      <c r="AD365" s="174"/>
    </row>
    <row r="366" spans="1:30" ht="15.75" customHeight="1" x14ac:dyDescent="0.2">
      <c r="A366" s="174"/>
      <c r="B366" s="174"/>
      <c r="C366" s="229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  <c r="AA366" s="174"/>
      <c r="AB366" s="174"/>
      <c r="AC366" s="174"/>
      <c r="AD366" s="174"/>
    </row>
    <row r="367" spans="1:30" ht="15.75" customHeight="1" x14ac:dyDescent="0.2">
      <c r="A367" s="174"/>
      <c r="B367" s="174"/>
      <c r="C367" s="229"/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  <c r="AA367" s="174"/>
      <c r="AB367" s="174"/>
      <c r="AC367" s="174"/>
      <c r="AD367" s="174"/>
    </row>
    <row r="368" spans="1:30" ht="15.75" customHeight="1" x14ac:dyDescent="0.2">
      <c r="A368" s="174"/>
      <c r="B368" s="174"/>
      <c r="C368" s="229"/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  <c r="AA368" s="174"/>
      <c r="AB368" s="174"/>
      <c r="AC368" s="174"/>
      <c r="AD368" s="174"/>
    </row>
    <row r="369" spans="1:30" ht="15.75" customHeight="1" x14ac:dyDescent="0.2">
      <c r="A369" s="174"/>
      <c r="B369" s="174"/>
      <c r="C369" s="229"/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  <c r="AA369" s="174"/>
      <c r="AB369" s="174"/>
      <c r="AC369" s="174"/>
      <c r="AD369" s="174"/>
    </row>
    <row r="370" spans="1:30" ht="15.75" customHeight="1" x14ac:dyDescent="0.2">
      <c r="A370" s="174"/>
      <c r="B370" s="174"/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  <c r="AA370" s="174"/>
      <c r="AB370" s="174"/>
      <c r="AC370" s="174"/>
      <c r="AD370" s="174"/>
    </row>
    <row r="371" spans="1:30" ht="15.75" customHeight="1" x14ac:dyDescent="0.2">
      <c r="A371" s="174"/>
      <c r="B371" s="174"/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  <c r="AA371" s="174"/>
      <c r="AB371" s="174"/>
      <c r="AC371" s="174"/>
      <c r="AD371" s="174"/>
    </row>
    <row r="372" spans="1:30" ht="15.75" customHeight="1" x14ac:dyDescent="0.2">
      <c r="A372" s="174"/>
      <c r="B372" s="174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</row>
    <row r="373" spans="1:30" ht="15.75" customHeight="1" x14ac:dyDescent="0.2">
      <c r="A373" s="174"/>
      <c r="B373" s="174"/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  <c r="AA373" s="174"/>
      <c r="AB373" s="174"/>
      <c r="AC373" s="174"/>
      <c r="AD373" s="174"/>
    </row>
    <row r="374" spans="1:30" ht="15.75" customHeight="1" x14ac:dyDescent="0.2">
      <c r="A374" s="174"/>
      <c r="B374" s="174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  <c r="AA374" s="174"/>
      <c r="AB374" s="174"/>
      <c r="AC374" s="174"/>
      <c r="AD374" s="174"/>
    </row>
    <row r="375" spans="1:30" ht="15.75" customHeight="1" x14ac:dyDescent="0.2">
      <c r="A375" s="174"/>
      <c r="B375" s="174"/>
      <c r="C375" s="229"/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  <c r="AA375" s="174"/>
      <c r="AB375" s="174"/>
      <c r="AC375" s="174"/>
      <c r="AD375" s="174"/>
    </row>
    <row r="376" spans="1:30" ht="15.75" customHeight="1" x14ac:dyDescent="0.2">
      <c r="A376" s="174"/>
      <c r="B376" s="174"/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  <c r="AA376" s="174"/>
      <c r="AB376" s="174"/>
      <c r="AC376" s="174"/>
      <c r="AD376" s="174"/>
    </row>
    <row r="377" spans="1:30" ht="15.75" customHeight="1" x14ac:dyDescent="0.2">
      <c r="A377" s="174"/>
      <c r="B377" s="174"/>
      <c r="C377" s="229"/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  <c r="AA377" s="174"/>
      <c r="AB377" s="174"/>
      <c r="AC377" s="174"/>
      <c r="AD377" s="174"/>
    </row>
    <row r="378" spans="1:30" ht="15.75" customHeight="1" x14ac:dyDescent="0.2">
      <c r="A378" s="174"/>
      <c r="B378" s="174"/>
      <c r="C378" s="229"/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  <c r="AA378" s="174"/>
      <c r="AB378" s="174"/>
      <c r="AC378" s="174"/>
      <c r="AD378" s="174"/>
    </row>
    <row r="379" spans="1:30" ht="15.75" customHeight="1" x14ac:dyDescent="0.2">
      <c r="A379" s="174"/>
      <c r="B379" s="174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  <c r="AA379" s="174"/>
      <c r="AB379" s="174"/>
      <c r="AC379" s="174"/>
      <c r="AD379" s="174"/>
    </row>
    <row r="380" spans="1:30" ht="15.75" customHeight="1" x14ac:dyDescent="0.2">
      <c r="A380" s="174"/>
      <c r="B380" s="174"/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  <c r="AA380" s="174"/>
      <c r="AB380" s="174"/>
      <c r="AC380" s="174"/>
      <c r="AD380" s="174"/>
    </row>
    <row r="381" spans="1:30" ht="15.75" customHeight="1" x14ac:dyDescent="0.2">
      <c r="A381" s="174"/>
      <c r="B381" s="174"/>
      <c r="C381" s="229"/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  <c r="AA381" s="174"/>
      <c r="AB381" s="174"/>
      <c r="AC381" s="174"/>
      <c r="AD381" s="174"/>
    </row>
    <row r="382" spans="1:30" ht="15.75" customHeight="1" x14ac:dyDescent="0.2">
      <c r="A382" s="174"/>
      <c r="B382" s="174"/>
      <c r="C382" s="229"/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174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  <c r="AA382" s="174"/>
      <c r="AB382" s="174"/>
      <c r="AC382" s="174"/>
      <c r="AD382" s="174"/>
    </row>
    <row r="383" spans="1:30" ht="15.75" customHeight="1" x14ac:dyDescent="0.2">
      <c r="A383" s="174"/>
      <c r="B383" s="174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</row>
    <row r="384" spans="1:30" ht="15.75" customHeight="1" x14ac:dyDescent="0.2">
      <c r="A384" s="174"/>
      <c r="B384" s="174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</row>
    <row r="385" spans="1:30" ht="15.75" customHeight="1" x14ac:dyDescent="0.2">
      <c r="A385" s="174"/>
      <c r="B385" s="174"/>
      <c r="C385" s="229"/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  <c r="AC385" s="174"/>
      <c r="AD385" s="174"/>
    </row>
    <row r="386" spans="1:30" ht="15.75" customHeight="1" x14ac:dyDescent="0.2">
      <c r="A386" s="174"/>
      <c r="B386" s="174"/>
      <c r="C386" s="229"/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  <c r="AA386" s="174"/>
      <c r="AB386" s="174"/>
      <c r="AC386" s="174"/>
      <c r="AD386" s="174"/>
    </row>
    <row r="387" spans="1:30" ht="15.75" customHeight="1" x14ac:dyDescent="0.2">
      <c r="A387" s="174"/>
      <c r="B387" s="174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  <c r="AC387" s="174"/>
      <c r="AD387" s="174"/>
    </row>
    <row r="388" spans="1:30" ht="15.75" customHeight="1" x14ac:dyDescent="0.2">
      <c r="A388" s="174"/>
      <c r="B388" s="174"/>
      <c r="C388" s="229"/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  <c r="AC388" s="174"/>
      <c r="AD388" s="174"/>
    </row>
    <row r="389" spans="1:30" ht="15.75" customHeight="1" x14ac:dyDescent="0.2">
      <c r="A389" s="174"/>
      <c r="B389" s="174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  <c r="AA389" s="174"/>
      <c r="AB389" s="174"/>
      <c r="AC389" s="174"/>
      <c r="AD389" s="174"/>
    </row>
    <row r="390" spans="1:30" ht="15.75" customHeight="1" x14ac:dyDescent="0.2">
      <c r="A390" s="174"/>
      <c r="B390" s="174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  <c r="AC390" s="174"/>
      <c r="AD390" s="174"/>
    </row>
    <row r="391" spans="1:30" ht="15.75" customHeight="1" x14ac:dyDescent="0.2">
      <c r="A391" s="174"/>
      <c r="B391" s="174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  <c r="AA391" s="174"/>
      <c r="AB391" s="174"/>
      <c r="AC391" s="174"/>
      <c r="AD391" s="174"/>
    </row>
    <row r="392" spans="1:30" ht="15.75" customHeight="1" x14ac:dyDescent="0.2">
      <c r="A392" s="174"/>
      <c r="B392" s="174"/>
      <c r="C392" s="229"/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  <c r="AA392" s="174"/>
      <c r="AB392" s="174"/>
      <c r="AC392" s="174"/>
      <c r="AD392" s="174"/>
    </row>
    <row r="393" spans="1:30" ht="15.75" customHeight="1" x14ac:dyDescent="0.2">
      <c r="A393" s="174"/>
      <c r="B393" s="174"/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  <c r="AA393" s="174"/>
      <c r="AB393" s="174"/>
      <c r="AC393" s="174"/>
      <c r="AD393" s="174"/>
    </row>
    <row r="394" spans="1:30" ht="15.75" customHeight="1" x14ac:dyDescent="0.2">
      <c r="A394" s="174"/>
      <c r="B394" s="174"/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  <c r="AA394" s="174"/>
      <c r="AB394" s="174"/>
      <c r="AC394" s="174"/>
      <c r="AD394" s="174"/>
    </row>
    <row r="395" spans="1:30" ht="15.75" customHeight="1" x14ac:dyDescent="0.2">
      <c r="A395" s="174"/>
      <c r="B395" s="174"/>
      <c r="C395" s="229"/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</row>
    <row r="396" spans="1:30" ht="15.75" customHeight="1" x14ac:dyDescent="0.2">
      <c r="A396" s="174"/>
      <c r="B396" s="174"/>
      <c r="C396" s="229"/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</row>
    <row r="397" spans="1:30" ht="15.75" customHeight="1" x14ac:dyDescent="0.2">
      <c r="A397" s="174"/>
      <c r="B397" s="174"/>
      <c r="C397" s="229"/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  <c r="AC397" s="174"/>
      <c r="AD397" s="174"/>
    </row>
    <row r="398" spans="1:30" ht="15.75" customHeight="1" x14ac:dyDescent="0.2">
      <c r="A398" s="174"/>
      <c r="B398" s="174"/>
      <c r="C398" s="229"/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  <c r="AA398" s="174"/>
      <c r="AB398" s="174"/>
      <c r="AC398" s="174"/>
      <c r="AD398" s="174"/>
    </row>
    <row r="399" spans="1:30" ht="15.75" customHeight="1" x14ac:dyDescent="0.2">
      <c r="A399" s="174"/>
      <c r="B399" s="174"/>
      <c r="C399" s="229"/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  <c r="AA399" s="174"/>
      <c r="AB399" s="174"/>
      <c r="AC399" s="174"/>
      <c r="AD399" s="174"/>
    </row>
    <row r="400" spans="1:30" ht="15.75" customHeight="1" x14ac:dyDescent="0.2">
      <c r="A400" s="174"/>
      <c r="B400" s="174"/>
      <c r="C400" s="229"/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  <c r="AA400" s="174"/>
      <c r="AB400" s="174"/>
      <c r="AC400" s="174"/>
      <c r="AD400" s="174"/>
    </row>
    <row r="401" spans="1:30" ht="15.75" customHeight="1" x14ac:dyDescent="0.2">
      <c r="A401" s="174"/>
      <c r="B401" s="174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  <c r="AA401" s="174"/>
      <c r="AB401" s="174"/>
      <c r="AC401" s="174"/>
      <c r="AD401" s="174"/>
    </row>
    <row r="402" spans="1:30" ht="15.75" customHeight="1" x14ac:dyDescent="0.2">
      <c r="A402" s="174"/>
      <c r="B402" s="174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  <c r="AA402" s="174"/>
      <c r="AB402" s="174"/>
      <c r="AC402" s="174"/>
      <c r="AD402" s="174"/>
    </row>
    <row r="403" spans="1:30" ht="15.75" customHeight="1" x14ac:dyDescent="0.2">
      <c r="A403" s="174"/>
      <c r="B403" s="174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  <c r="AA403" s="174"/>
      <c r="AB403" s="174"/>
      <c r="AC403" s="174"/>
      <c r="AD403" s="174"/>
    </row>
    <row r="404" spans="1:30" ht="15.75" customHeight="1" x14ac:dyDescent="0.2">
      <c r="A404" s="174"/>
      <c r="B404" s="174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  <c r="AA404" s="174"/>
      <c r="AB404" s="174"/>
      <c r="AC404" s="174"/>
      <c r="AD404" s="174"/>
    </row>
    <row r="405" spans="1:30" ht="15.75" customHeight="1" x14ac:dyDescent="0.2">
      <c r="A405" s="174"/>
      <c r="B405" s="174"/>
      <c r="C405" s="229"/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  <c r="AA405" s="174"/>
      <c r="AB405" s="174"/>
      <c r="AC405" s="174"/>
      <c r="AD405" s="174"/>
    </row>
    <row r="406" spans="1:30" ht="15.75" customHeight="1" x14ac:dyDescent="0.2">
      <c r="A406" s="174"/>
      <c r="B406" s="174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</row>
    <row r="407" spans="1:30" ht="15.75" customHeight="1" x14ac:dyDescent="0.2">
      <c r="A407" s="174"/>
      <c r="B407" s="174"/>
      <c r="C407" s="229"/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174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</row>
    <row r="408" spans="1:30" ht="15.75" customHeight="1" x14ac:dyDescent="0.2">
      <c r="A408" s="174"/>
      <c r="B408" s="174"/>
      <c r="C408" s="229"/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174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  <c r="AA408" s="174"/>
      <c r="AB408" s="174"/>
      <c r="AC408" s="174"/>
      <c r="AD408" s="174"/>
    </row>
    <row r="409" spans="1:30" ht="15.75" customHeight="1" x14ac:dyDescent="0.2">
      <c r="A409" s="174"/>
      <c r="B409" s="174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  <c r="AA409" s="174"/>
      <c r="AB409" s="174"/>
      <c r="AC409" s="174"/>
      <c r="AD409" s="174"/>
    </row>
    <row r="410" spans="1:30" ht="15.75" customHeight="1" x14ac:dyDescent="0.2">
      <c r="A410" s="174"/>
      <c r="B410" s="174"/>
      <c r="C410" s="229"/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</row>
    <row r="411" spans="1:30" ht="15.75" customHeight="1" x14ac:dyDescent="0.2">
      <c r="A411" s="174"/>
      <c r="B411" s="174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  <c r="AC411" s="174"/>
      <c r="AD411" s="174"/>
    </row>
    <row r="412" spans="1:30" ht="15.75" customHeight="1" x14ac:dyDescent="0.2">
      <c r="A412" s="174"/>
      <c r="B412" s="174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</row>
    <row r="413" spans="1:30" ht="15.75" customHeight="1" x14ac:dyDescent="0.2">
      <c r="A413" s="174"/>
      <c r="B413" s="174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  <c r="AC413" s="174"/>
      <c r="AD413" s="174"/>
    </row>
    <row r="414" spans="1:30" ht="15.75" customHeight="1" x14ac:dyDescent="0.2">
      <c r="A414" s="174"/>
      <c r="B414" s="174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  <c r="AC414" s="174"/>
      <c r="AD414" s="174"/>
    </row>
    <row r="415" spans="1:30" ht="15.75" customHeight="1" x14ac:dyDescent="0.2">
      <c r="A415" s="174"/>
      <c r="B415" s="174"/>
      <c r="C415" s="229"/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</row>
    <row r="416" spans="1:30" ht="15.75" customHeight="1" x14ac:dyDescent="0.2">
      <c r="A416" s="174"/>
      <c r="B416" s="174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  <c r="AC416" s="174"/>
      <c r="AD416" s="174"/>
    </row>
    <row r="417" spans="1:30" ht="15.75" customHeight="1" x14ac:dyDescent="0.2">
      <c r="A417" s="174"/>
      <c r="B417" s="174"/>
      <c r="C417" s="229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  <c r="AA417" s="174"/>
      <c r="AB417" s="174"/>
      <c r="AC417" s="174"/>
      <c r="AD417" s="174"/>
    </row>
    <row r="418" spans="1:30" ht="15.75" customHeight="1" x14ac:dyDescent="0.2">
      <c r="A418" s="174"/>
      <c r="B418" s="174"/>
      <c r="C418" s="229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  <c r="AA418" s="174"/>
      <c r="AB418" s="174"/>
      <c r="AC418" s="174"/>
      <c r="AD418" s="174"/>
    </row>
    <row r="419" spans="1:30" ht="15.75" customHeight="1" x14ac:dyDescent="0.2">
      <c r="A419" s="174"/>
      <c r="B419" s="174"/>
      <c r="C419" s="229"/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  <c r="AA419" s="174"/>
      <c r="AB419" s="174"/>
      <c r="AC419" s="174"/>
      <c r="AD419" s="174"/>
    </row>
    <row r="420" spans="1:30" ht="15.75" customHeight="1" x14ac:dyDescent="0.2">
      <c r="A420" s="174"/>
      <c r="B420" s="174"/>
      <c r="C420" s="229"/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  <c r="AA420" s="174"/>
      <c r="AB420" s="174"/>
      <c r="AC420" s="174"/>
      <c r="AD420" s="174"/>
    </row>
    <row r="421" spans="1:30" ht="15.75" customHeight="1" x14ac:dyDescent="0.2">
      <c r="A421" s="174"/>
      <c r="B421" s="174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  <c r="AA421" s="174"/>
      <c r="AB421" s="174"/>
      <c r="AC421" s="174"/>
      <c r="AD421" s="174"/>
    </row>
    <row r="422" spans="1:30" ht="15.75" customHeight="1" x14ac:dyDescent="0.2">
      <c r="A422" s="174"/>
      <c r="B422" s="174"/>
      <c r="C422" s="229"/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</row>
    <row r="423" spans="1:30" ht="15.75" customHeight="1" x14ac:dyDescent="0.2">
      <c r="A423" s="174"/>
      <c r="B423" s="174"/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  <c r="AC423" s="174"/>
      <c r="AD423" s="174"/>
    </row>
    <row r="424" spans="1:30" ht="15.75" customHeight="1" x14ac:dyDescent="0.2">
      <c r="A424" s="174"/>
      <c r="B424" s="174"/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</row>
    <row r="425" spans="1:30" ht="15.75" customHeight="1" x14ac:dyDescent="0.2">
      <c r="A425" s="174"/>
      <c r="B425" s="174"/>
      <c r="C425" s="229"/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174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C425" s="174"/>
      <c r="AD425" s="174"/>
    </row>
    <row r="426" spans="1:30" ht="15.75" customHeight="1" x14ac:dyDescent="0.2">
      <c r="A426" s="174"/>
      <c r="B426" s="174"/>
      <c r="C426" s="229"/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C426" s="174"/>
      <c r="AD426" s="174"/>
    </row>
    <row r="427" spans="1:30" ht="15.75" customHeight="1" x14ac:dyDescent="0.2">
      <c r="A427" s="174"/>
      <c r="B427" s="174"/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174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  <c r="AA427" s="174"/>
      <c r="AB427" s="174"/>
      <c r="AC427" s="174"/>
      <c r="AD427" s="174"/>
    </row>
    <row r="428" spans="1:30" ht="15.75" customHeight="1" x14ac:dyDescent="0.2">
      <c r="A428" s="174"/>
      <c r="B428" s="174"/>
      <c r="C428" s="229"/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  <c r="AA428" s="174"/>
      <c r="AB428" s="174"/>
      <c r="AC428" s="174"/>
      <c r="AD428" s="174"/>
    </row>
    <row r="429" spans="1:30" ht="15.75" customHeight="1" x14ac:dyDescent="0.2">
      <c r="A429" s="174"/>
      <c r="B429" s="174"/>
      <c r="C429" s="229"/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174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  <c r="AA429" s="174"/>
      <c r="AB429" s="174"/>
      <c r="AC429" s="174"/>
      <c r="AD429" s="174"/>
    </row>
    <row r="430" spans="1:30" ht="15.75" customHeight="1" x14ac:dyDescent="0.2">
      <c r="A430" s="174"/>
      <c r="B430" s="174"/>
      <c r="C430" s="229"/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174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  <c r="AA430" s="174"/>
      <c r="AB430" s="174"/>
      <c r="AC430" s="174"/>
      <c r="AD430" s="174"/>
    </row>
    <row r="431" spans="1:30" ht="15.75" customHeight="1" x14ac:dyDescent="0.2">
      <c r="A431" s="174"/>
      <c r="B431" s="174"/>
      <c r="C431" s="229"/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  <c r="AA431" s="174"/>
      <c r="AB431" s="174"/>
      <c r="AC431" s="174"/>
      <c r="AD431" s="174"/>
    </row>
    <row r="432" spans="1:30" ht="15.75" customHeight="1" x14ac:dyDescent="0.2">
      <c r="A432" s="174"/>
      <c r="B432" s="174"/>
      <c r="C432" s="229"/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</row>
    <row r="433" spans="1:30" ht="15.75" customHeight="1" x14ac:dyDescent="0.2">
      <c r="A433" s="174"/>
      <c r="B433" s="174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  <c r="AA433" s="174"/>
      <c r="AB433" s="174"/>
      <c r="AC433" s="174"/>
      <c r="AD433" s="174"/>
    </row>
    <row r="434" spans="1:30" ht="15.75" customHeight="1" x14ac:dyDescent="0.2">
      <c r="A434" s="174"/>
      <c r="B434" s="174"/>
      <c r="C434" s="229"/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  <c r="AA434" s="174"/>
      <c r="AB434" s="174"/>
      <c r="AC434" s="174"/>
      <c r="AD434" s="174"/>
    </row>
    <row r="435" spans="1:30" ht="15.75" customHeight="1" x14ac:dyDescent="0.2">
      <c r="A435" s="174"/>
      <c r="B435" s="174"/>
      <c r="C435" s="229"/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  <c r="AC435" s="174"/>
      <c r="AD435" s="174"/>
    </row>
    <row r="436" spans="1:30" ht="15.75" customHeight="1" x14ac:dyDescent="0.2">
      <c r="A436" s="174"/>
      <c r="B436" s="174"/>
      <c r="C436" s="229"/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  <c r="AA436" s="174"/>
      <c r="AB436" s="174"/>
      <c r="AC436" s="174"/>
      <c r="AD436" s="174"/>
    </row>
    <row r="437" spans="1:30" ht="15.75" customHeight="1" x14ac:dyDescent="0.2">
      <c r="A437" s="174"/>
      <c r="B437" s="174"/>
      <c r="C437" s="229"/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  <c r="AA437" s="174"/>
      <c r="AB437" s="174"/>
      <c r="AC437" s="174"/>
      <c r="AD437" s="174"/>
    </row>
    <row r="438" spans="1:30" ht="15.75" customHeight="1" x14ac:dyDescent="0.2">
      <c r="A438" s="174"/>
      <c r="B438" s="174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  <c r="AA438" s="174"/>
      <c r="AB438" s="174"/>
      <c r="AC438" s="174"/>
      <c r="AD438" s="174"/>
    </row>
    <row r="439" spans="1:30" ht="15.75" customHeight="1" x14ac:dyDescent="0.2">
      <c r="A439" s="174"/>
      <c r="B439" s="174"/>
      <c r="C439" s="229"/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  <c r="AA439" s="174"/>
      <c r="AB439" s="174"/>
      <c r="AC439" s="174"/>
      <c r="AD439" s="174"/>
    </row>
    <row r="440" spans="1:30" ht="15.75" customHeight="1" x14ac:dyDescent="0.2">
      <c r="A440" s="174"/>
      <c r="B440" s="174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  <c r="AA440" s="174"/>
      <c r="AB440" s="174"/>
      <c r="AC440" s="174"/>
      <c r="AD440" s="174"/>
    </row>
    <row r="441" spans="1:30" ht="15.75" customHeight="1" x14ac:dyDescent="0.2">
      <c r="A441" s="174"/>
      <c r="B441" s="174"/>
      <c r="C441" s="229"/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174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  <c r="AA441" s="174"/>
      <c r="AB441" s="174"/>
      <c r="AC441" s="174"/>
      <c r="AD441" s="174"/>
    </row>
    <row r="442" spans="1:30" ht="15.75" customHeight="1" x14ac:dyDescent="0.2">
      <c r="A442" s="174"/>
      <c r="B442" s="174"/>
      <c r="C442" s="229"/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</row>
    <row r="443" spans="1:30" ht="15.75" customHeight="1" x14ac:dyDescent="0.2">
      <c r="A443" s="174"/>
      <c r="B443" s="174"/>
      <c r="C443" s="229"/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  <c r="AA443" s="174"/>
      <c r="AB443" s="174"/>
      <c r="AC443" s="174"/>
      <c r="AD443" s="174"/>
    </row>
    <row r="444" spans="1:30" ht="15.75" customHeight="1" x14ac:dyDescent="0.2">
      <c r="A444" s="174"/>
      <c r="B444" s="174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174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  <c r="AA444" s="174"/>
      <c r="AB444" s="174"/>
      <c r="AC444" s="174"/>
      <c r="AD444" s="174"/>
    </row>
    <row r="445" spans="1:30" ht="15.75" customHeight="1" x14ac:dyDescent="0.2">
      <c r="A445" s="174"/>
      <c r="B445" s="174"/>
      <c r="C445" s="229"/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174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  <c r="AA445" s="174"/>
      <c r="AB445" s="174"/>
      <c r="AC445" s="174"/>
      <c r="AD445" s="174"/>
    </row>
    <row r="446" spans="1:30" ht="15.75" customHeight="1" x14ac:dyDescent="0.2">
      <c r="A446" s="174"/>
      <c r="B446" s="174"/>
      <c r="C446" s="229"/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  <c r="AA446" s="174"/>
      <c r="AB446" s="174"/>
      <c r="AC446" s="174"/>
      <c r="AD446" s="174"/>
    </row>
    <row r="447" spans="1:30" ht="15.75" customHeight="1" x14ac:dyDescent="0.2">
      <c r="A447" s="174"/>
      <c r="B447" s="174"/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  <c r="AA447" s="174"/>
      <c r="AB447" s="174"/>
      <c r="AC447" s="174"/>
      <c r="AD447" s="174"/>
    </row>
    <row r="448" spans="1:30" ht="15.75" customHeight="1" x14ac:dyDescent="0.2">
      <c r="A448" s="174"/>
      <c r="B448" s="174"/>
      <c r="C448" s="229"/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  <c r="AA448" s="174"/>
      <c r="AB448" s="174"/>
      <c r="AC448" s="174"/>
      <c r="AD448" s="174"/>
    </row>
    <row r="449" spans="1:30" ht="15.75" customHeight="1" x14ac:dyDescent="0.2">
      <c r="A449" s="174"/>
      <c r="B449" s="174"/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  <c r="AA449" s="174"/>
      <c r="AB449" s="174"/>
      <c r="AC449" s="174"/>
      <c r="AD449" s="174"/>
    </row>
    <row r="450" spans="1:30" ht="15.75" customHeight="1" x14ac:dyDescent="0.2">
      <c r="A450" s="174"/>
      <c r="B450" s="174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  <c r="AC450" s="174"/>
      <c r="AD450" s="174"/>
    </row>
    <row r="451" spans="1:30" ht="15.75" customHeight="1" x14ac:dyDescent="0.2">
      <c r="A451" s="174"/>
      <c r="B451" s="174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  <c r="AC451" s="174"/>
      <c r="AD451" s="174"/>
    </row>
    <row r="452" spans="1:30" ht="15.75" customHeight="1" x14ac:dyDescent="0.2">
      <c r="A452" s="174"/>
      <c r="B452" s="174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</row>
    <row r="453" spans="1:30" ht="15.75" customHeight="1" x14ac:dyDescent="0.2">
      <c r="A453" s="174"/>
      <c r="B453" s="174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  <c r="AA453" s="174"/>
      <c r="AB453" s="174"/>
      <c r="AC453" s="174"/>
      <c r="AD453" s="174"/>
    </row>
    <row r="454" spans="1:30" ht="15.75" customHeight="1" x14ac:dyDescent="0.2">
      <c r="A454" s="174"/>
      <c r="B454" s="174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  <c r="AC454" s="174"/>
      <c r="AD454" s="174"/>
    </row>
    <row r="455" spans="1:30" ht="15.75" customHeight="1" x14ac:dyDescent="0.2">
      <c r="A455" s="174"/>
      <c r="B455" s="174"/>
      <c r="C455" s="229"/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  <c r="AC455" s="174"/>
      <c r="AD455" s="174"/>
    </row>
    <row r="456" spans="1:30" ht="15.75" customHeight="1" x14ac:dyDescent="0.2">
      <c r="A456" s="174"/>
      <c r="B456" s="174"/>
      <c r="C456" s="229"/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</row>
    <row r="457" spans="1:30" ht="15.75" customHeight="1" x14ac:dyDescent="0.2">
      <c r="A457" s="174"/>
      <c r="B457" s="174"/>
      <c r="C457" s="229"/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  <c r="AC457" s="174"/>
      <c r="AD457" s="174"/>
    </row>
    <row r="458" spans="1:30" ht="15.75" customHeight="1" x14ac:dyDescent="0.2">
      <c r="A458" s="174"/>
      <c r="B458" s="174"/>
      <c r="C458" s="229"/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  <c r="AC458" s="174"/>
      <c r="AD458" s="174"/>
    </row>
    <row r="459" spans="1:30" ht="15.75" customHeight="1" x14ac:dyDescent="0.2">
      <c r="A459" s="174"/>
      <c r="B459" s="174"/>
      <c r="C459" s="229"/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  <c r="AC459" s="174"/>
      <c r="AD459" s="174"/>
    </row>
    <row r="460" spans="1:30" ht="15.75" customHeight="1" x14ac:dyDescent="0.2">
      <c r="A460" s="174"/>
      <c r="B460" s="174"/>
      <c r="C460" s="229"/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  <c r="AC460" s="174"/>
      <c r="AD460" s="174"/>
    </row>
    <row r="461" spans="1:30" ht="15.75" customHeight="1" x14ac:dyDescent="0.2">
      <c r="A461" s="174"/>
      <c r="B461" s="174"/>
      <c r="C461" s="229"/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  <c r="AC461" s="174"/>
      <c r="AD461" s="174"/>
    </row>
    <row r="462" spans="1:30" ht="15.75" customHeight="1" x14ac:dyDescent="0.2">
      <c r="A462" s="174"/>
      <c r="B462" s="174"/>
      <c r="C462" s="229"/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</row>
    <row r="463" spans="1:30" ht="15.75" customHeight="1" x14ac:dyDescent="0.2">
      <c r="A463" s="174"/>
      <c r="B463" s="174"/>
      <c r="C463" s="229"/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  <c r="AC463" s="174"/>
      <c r="AD463" s="174"/>
    </row>
    <row r="464" spans="1:30" ht="15.75" customHeight="1" x14ac:dyDescent="0.2">
      <c r="A464" s="174"/>
      <c r="B464" s="174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  <c r="AA464" s="174"/>
      <c r="AB464" s="174"/>
      <c r="AC464" s="174"/>
      <c r="AD464" s="174"/>
    </row>
    <row r="465" spans="1:30" ht="15.75" customHeight="1" x14ac:dyDescent="0.2">
      <c r="A465" s="174"/>
      <c r="B465" s="174"/>
      <c r="C465" s="229"/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</row>
    <row r="466" spans="1:30" ht="15.75" customHeight="1" x14ac:dyDescent="0.2">
      <c r="A466" s="174"/>
      <c r="B466" s="174"/>
      <c r="C466" s="229"/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</row>
    <row r="467" spans="1:30" ht="15.75" customHeight="1" x14ac:dyDescent="0.2">
      <c r="A467" s="174"/>
      <c r="B467" s="174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  <c r="AA467" s="174"/>
      <c r="AB467" s="174"/>
      <c r="AC467" s="174"/>
      <c r="AD467" s="174"/>
    </row>
    <row r="468" spans="1:30" ht="15.75" customHeight="1" x14ac:dyDescent="0.2">
      <c r="A468" s="174"/>
      <c r="B468" s="174"/>
      <c r="C468" s="229"/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  <c r="AA468" s="174"/>
      <c r="AB468" s="174"/>
      <c r="AC468" s="174"/>
      <c r="AD468" s="174"/>
    </row>
    <row r="469" spans="1:30" ht="15.75" customHeight="1" x14ac:dyDescent="0.2">
      <c r="A469" s="174"/>
      <c r="B469" s="174"/>
      <c r="C469" s="229"/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  <c r="AC469" s="174"/>
      <c r="AD469" s="174"/>
    </row>
    <row r="470" spans="1:30" ht="15.75" customHeight="1" x14ac:dyDescent="0.2">
      <c r="A470" s="174"/>
      <c r="B470" s="174"/>
      <c r="C470" s="22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  <c r="AA470" s="174"/>
      <c r="AB470" s="174"/>
      <c r="AC470" s="174"/>
      <c r="AD470" s="174"/>
    </row>
    <row r="471" spans="1:30" ht="15.75" customHeight="1" x14ac:dyDescent="0.2">
      <c r="A471" s="174"/>
      <c r="B471" s="174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  <c r="AA471" s="174"/>
      <c r="AB471" s="174"/>
      <c r="AC471" s="174"/>
      <c r="AD471" s="174"/>
    </row>
    <row r="472" spans="1:30" ht="15.75" customHeight="1" x14ac:dyDescent="0.2">
      <c r="A472" s="174"/>
      <c r="B472" s="174"/>
      <c r="C472" s="229"/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</row>
    <row r="473" spans="1:30" ht="15.75" customHeight="1" x14ac:dyDescent="0.2">
      <c r="A473" s="174"/>
      <c r="B473" s="174"/>
      <c r="C473" s="229"/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  <c r="AA473" s="174"/>
      <c r="AB473" s="174"/>
      <c r="AC473" s="174"/>
      <c r="AD473" s="174"/>
    </row>
    <row r="474" spans="1:30" ht="15.75" customHeight="1" x14ac:dyDescent="0.2">
      <c r="A474" s="174"/>
      <c r="B474" s="174"/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  <c r="AC474" s="174"/>
      <c r="AD474" s="174"/>
    </row>
    <row r="475" spans="1:30" ht="15.75" customHeight="1" x14ac:dyDescent="0.2">
      <c r="A475" s="174"/>
      <c r="B475" s="174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  <c r="AC475" s="174"/>
      <c r="AD475" s="174"/>
    </row>
    <row r="476" spans="1:30" ht="15.75" customHeight="1" x14ac:dyDescent="0.2">
      <c r="A476" s="174"/>
      <c r="B476" s="174"/>
      <c r="C476" s="229"/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  <c r="AA476" s="174"/>
      <c r="AB476" s="174"/>
      <c r="AC476" s="174"/>
      <c r="AD476" s="174"/>
    </row>
    <row r="477" spans="1:30" ht="15.75" customHeight="1" x14ac:dyDescent="0.2">
      <c r="A477" s="174"/>
      <c r="B477" s="174"/>
      <c r="C477" s="229"/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  <c r="AA477" s="174"/>
      <c r="AB477" s="174"/>
      <c r="AC477" s="174"/>
      <c r="AD477" s="174"/>
    </row>
    <row r="478" spans="1:30" ht="15.75" customHeight="1" x14ac:dyDescent="0.2">
      <c r="A478" s="174"/>
      <c r="B478" s="174"/>
      <c r="C478" s="229"/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  <c r="AA478" s="174"/>
      <c r="AB478" s="174"/>
      <c r="AC478" s="174"/>
      <c r="AD478" s="174"/>
    </row>
    <row r="479" spans="1:30" ht="15.75" customHeight="1" x14ac:dyDescent="0.2">
      <c r="A479" s="174"/>
      <c r="B479" s="174"/>
      <c r="C479" s="229"/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  <c r="AA479" s="174"/>
      <c r="AB479" s="174"/>
      <c r="AC479" s="174"/>
      <c r="AD479" s="174"/>
    </row>
    <row r="480" spans="1:30" ht="15.75" customHeight="1" x14ac:dyDescent="0.2">
      <c r="A480" s="174"/>
      <c r="B480" s="174"/>
      <c r="C480" s="229"/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  <c r="AA480" s="174"/>
      <c r="AB480" s="174"/>
      <c r="AC480" s="174"/>
      <c r="AD480" s="174"/>
    </row>
    <row r="481" spans="1:30" ht="15.75" customHeight="1" x14ac:dyDescent="0.2">
      <c r="A481" s="174"/>
      <c r="B481" s="174"/>
      <c r="C481" s="229"/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  <c r="AA481" s="174"/>
      <c r="AB481" s="174"/>
      <c r="AC481" s="174"/>
      <c r="AD481" s="174"/>
    </row>
    <row r="482" spans="1:30" ht="15.75" customHeight="1" x14ac:dyDescent="0.2">
      <c r="A482" s="174"/>
      <c r="B482" s="174"/>
      <c r="C482" s="229"/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  <c r="AA482" s="174"/>
      <c r="AB482" s="174"/>
      <c r="AC482" s="174"/>
      <c r="AD482" s="174"/>
    </row>
    <row r="483" spans="1:30" ht="15.75" customHeight="1" x14ac:dyDescent="0.2">
      <c r="A483" s="174"/>
      <c r="B483" s="174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  <c r="AA483" s="174"/>
      <c r="AB483" s="174"/>
      <c r="AC483" s="174"/>
      <c r="AD483" s="174"/>
    </row>
    <row r="484" spans="1:30" ht="15.75" customHeight="1" x14ac:dyDescent="0.2">
      <c r="A484" s="174"/>
      <c r="B484" s="174"/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4"/>
    </row>
    <row r="485" spans="1:30" ht="15.75" customHeight="1" x14ac:dyDescent="0.2">
      <c r="A485" s="174"/>
      <c r="B485" s="174"/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  <c r="AC485" s="174"/>
      <c r="AD485" s="174"/>
    </row>
    <row r="486" spans="1:30" ht="15.75" customHeight="1" x14ac:dyDescent="0.2">
      <c r="A486" s="174"/>
      <c r="B486" s="174"/>
      <c r="C486" s="229"/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  <c r="AA486" s="174"/>
      <c r="AB486" s="174"/>
      <c r="AC486" s="174"/>
      <c r="AD486" s="174"/>
    </row>
    <row r="487" spans="1:30" ht="15.75" customHeight="1" x14ac:dyDescent="0.2">
      <c r="A487" s="174"/>
      <c r="B487" s="174"/>
      <c r="C487" s="229"/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  <c r="AA487" s="174"/>
      <c r="AB487" s="174"/>
      <c r="AC487" s="174"/>
      <c r="AD487" s="174"/>
    </row>
    <row r="488" spans="1:30" ht="15.75" customHeight="1" x14ac:dyDescent="0.2">
      <c r="A488" s="174"/>
      <c r="B488" s="174"/>
      <c r="C488" s="229"/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  <c r="AA488" s="174"/>
      <c r="AB488" s="174"/>
      <c r="AC488" s="174"/>
      <c r="AD488" s="174"/>
    </row>
    <row r="489" spans="1:30" ht="15.75" customHeight="1" x14ac:dyDescent="0.2">
      <c r="A489" s="174"/>
      <c r="B489" s="174"/>
      <c r="C489" s="229"/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  <c r="AA489" s="174"/>
      <c r="AB489" s="174"/>
      <c r="AC489" s="174"/>
      <c r="AD489" s="174"/>
    </row>
    <row r="490" spans="1:30" ht="15.75" customHeight="1" x14ac:dyDescent="0.2">
      <c r="A490" s="174"/>
      <c r="B490" s="174"/>
      <c r="C490" s="229"/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  <c r="AA490" s="174"/>
      <c r="AB490" s="174"/>
      <c r="AC490" s="174"/>
      <c r="AD490" s="174"/>
    </row>
    <row r="491" spans="1:30" ht="15.75" customHeight="1" x14ac:dyDescent="0.2">
      <c r="A491" s="174"/>
      <c r="B491" s="174"/>
      <c r="C491" s="229"/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  <c r="AA491" s="174"/>
      <c r="AB491" s="174"/>
      <c r="AC491" s="174"/>
      <c r="AD491" s="174"/>
    </row>
    <row r="492" spans="1:30" ht="15.75" customHeight="1" x14ac:dyDescent="0.2">
      <c r="A492" s="174"/>
      <c r="B492" s="174"/>
      <c r="C492" s="229"/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</row>
    <row r="493" spans="1:30" ht="15.75" customHeight="1" x14ac:dyDescent="0.2">
      <c r="A493" s="174"/>
      <c r="B493" s="174"/>
      <c r="C493" s="229"/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</row>
    <row r="494" spans="1:30" ht="15.75" customHeight="1" x14ac:dyDescent="0.2">
      <c r="A494" s="174"/>
      <c r="B494" s="174"/>
      <c r="C494" s="229"/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  <c r="AC494" s="174"/>
      <c r="AD494" s="174"/>
    </row>
    <row r="495" spans="1:30" ht="15.75" customHeight="1" x14ac:dyDescent="0.2">
      <c r="A495" s="174"/>
      <c r="B495" s="174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  <c r="AC495" s="174"/>
      <c r="AD495" s="174"/>
    </row>
    <row r="496" spans="1:30" ht="15.75" customHeight="1" x14ac:dyDescent="0.2">
      <c r="A496" s="174"/>
      <c r="B496" s="174"/>
      <c r="C496" s="229"/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</row>
    <row r="497" spans="1:30" ht="15.75" customHeight="1" x14ac:dyDescent="0.2">
      <c r="A497" s="174"/>
      <c r="B497" s="174"/>
      <c r="C497" s="229"/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</row>
    <row r="498" spans="1:30" ht="15.75" customHeight="1" x14ac:dyDescent="0.2">
      <c r="A498" s="174"/>
      <c r="B498" s="174"/>
      <c r="C498" s="229"/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</row>
    <row r="499" spans="1:30" ht="15.75" customHeight="1" x14ac:dyDescent="0.2">
      <c r="A499" s="174"/>
      <c r="B499" s="174"/>
      <c r="C499" s="229"/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</row>
    <row r="500" spans="1:30" ht="15.75" customHeight="1" x14ac:dyDescent="0.2">
      <c r="A500" s="174"/>
      <c r="B500" s="174"/>
      <c r="C500" s="229"/>
      <c r="D500" s="229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</row>
    <row r="501" spans="1:30" ht="15.75" customHeight="1" x14ac:dyDescent="0.2">
      <c r="A501" s="174"/>
      <c r="B501" s="174"/>
      <c r="C501" s="229"/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  <c r="AC501" s="174"/>
      <c r="AD501" s="174"/>
    </row>
    <row r="502" spans="1:30" ht="15.75" customHeight="1" x14ac:dyDescent="0.2">
      <c r="A502" s="174"/>
      <c r="B502" s="174"/>
      <c r="C502" s="229"/>
      <c r="D502" s="229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  <c r="AA502" s="174"/>
      <c r="AB502" s="174"/>
      <c r="AC502" s="174"/>
      <c r="AD502" s="174"/>
    </row>
    <row r="503" spans="1:30" ht="15.75" customHeight="1" x14ac:dyDescent="0.2">
      <c r="A503" s="174"/>
      <c r="B503" s="174"/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  <c r="AC503" s="174"/>
      <c r="AD503" s="174"/>
    </row>
    <row r="504" spans="1:30" ht="15.75" customHeight="1" x14ac:dyDescent="0.2">
      <c r="A504" s="174"/>
      <c r="B504" s="174"/>
      <c r="C504" s="229"/>
      <c r="D504" s="229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  <c r="AA504" s="174"/>
      <c r="AB504" s="174"/>
      <c r="AC504" s="174"/>
      <c r="AD504" s="174"/>
    </row>
    <row r="505" spans="1:30" ht="15.75" customHeight="1" x14ac:dyDescent="0.2">
      <c r="A505" s="174"/>
      <c r="B505" s="174"/>
      <c r="C505" s="229"/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  <c r="AA505" s="174"/>
      <c r="AB505" s="174"/>
      <c r="AC505" s="174"/>
      <c r="AD505" s="174"/>
    </row>
    <row r="506" spans="1:30" ht="15.75" customHeight="1" x14ac:dyDescent="0.2">
      <c r="A506" s="174"/>
      <c r="B506" s="174"/>
      <c r="C506" s="229"/>
      <c r="D506" s="229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  <c r="AC506" s="174"/>
      <c r="AD506" s="174"/>
    </row>
    <row r="507" spans="1:30" ht="15.75" customHeight="1" x14ac:dyDescent="0.2">
      <c r="A507" s="174"/>
      <c r="B507" s="174"/>
      <c r="C507" s="229"/>
      <c r="D507" s="229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  <c r="AA507" s="174"/>
      <c r="AB507" s="174"/>
      <c r="AC507" s="174"/>
      <c r="AD507" s="174"/>
    </row>
    <row r="508" spans="1:30" ht="15.75" customHeight="1" x14ac:dyDescent="0.2">
      <c r="A508" s="174"/>
      <c r="B508" s="174"/>
      <c r="C508" s="229"/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  <c r="AA508" s="174"/>
      <c r="AB508" s="174"/>
      <c r="AC508" s="174"/>
      <c r="AD508" s="174"/>
    </row>
    <row r="509" spans="1:30" ht="15.75" customHeight="1" x14ac:dyDescent="0.2">
      <c r="A509" s="174"/>
      <c r="B509" s="174"/>
      <c r="C509" s="229"/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  <c r="AC509" s="174"/>
      <c r="AD509" s="174"/>
    </row>
    <row r="510" spans="1:30" ht="15.75" customHeight="1" x14ac:dyDescent="0.2">
      <c r="A510" s="174"/>
      <c r="B510" s="174"/>
      <c r="C510" s="229"/>
      <c r="D510" s="229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  <c r="AA510" s="174"/>
      <c r="AB510" s="174"/>
      <c r="AC510" s="174"/>
      <c r="AD510" s="174"/>
    </row>
    <row r="511" spans="1:30" ht="15.75" customHeight="1" x14ac:dyDescent="0.2">
      <c r="A511" s="174"/>
      <c r="B511" s="174"/>
      <c r="C511" s="229"/>
      <c r="D511" s="229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  <c r="AA511" s="174"/>
      <c r="AB511" s="174"/>
      <c r="AC511" s="174"/>
      <c r="AD511" s="174"/>
    </row>
    <row r="512" spans="1:30" ht="15.75" customHeight="1" x14ac:dyDescent="0.2">
      <c r="A512" s="174"/>
      <c r="B512" s="174"/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  <c r="AC512" s="174"/>
      <c r="AD512" s="174"/>
    </row>
    <row r="513" spans="1:30" ht="15.75" customHeight="1" x14ac:dyDescent="0.2">
      <c r="A513" s="174"/>
      <c r="B513" s="174"/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  <c r="AA513" s="174"/>
      <c r="AB513" s="174"/>
      <c r="AC513" s="174"/>
      <c r="AD513" s="174"/>
    </row>
    <row r="514" spans="1:30" ht="15.75" customHeight="1" x14ac:dyDescent="0.2">
      <c r="A514" s="174"/>
      <c r="B514" s="174"/>
      <c r="C514" s="229"/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  <c r="AA514" s="174"/>
      <c r="AB514" s="174"/>
      <c r="AC514" s="174"/>
      <c r="AD514" s="174"/>
    </row>
    <row r="515" spans="1:30" ht="15.75" customHeight="1" x14ac:dyDescent="0.2">
      <c r="A515" s="174"/>
      <c r="B515" s="174"/>
      <c r="C515" s="229"/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  <c r="AC515" s="174"/>
      <c r="AD515" s="174"/>
    </row>
    <row r="516" spans="1:30" ht="15.75" customHeight="1" x14ac:dyDescent="0.2">
      <c r="A516" s="174"/>
      <c r="B516" s="174"/>
      <c r="C516" s="229"/>
      <c r="D516" s="229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  <c r="AA516" s="174"/>
      <c r="AB516" s="174"/>
      <c r="AC516" s="174"/>
      <c r="AD516" s="174"/>
    </row>
    <row r="517" spans="1:30" ht="15.75" customHeight="1" x14ac:dyDescent="0.2">
      <c r="A517" s="174"/>
      <c r="B517" s="174"/>
      <c r="C517" s="229"/>
      <c r="D517" s="229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  <c r="AC517" s="174"/>
      <c r="AD517" s="174"/>
    </row>
    <row r="518" spans="1:30" ht="15.75" customHeight="1" x14ac:dyDescent="0.2">
      <c r="A518" s="174"/>
      <c r="B518" s="174"/>
      <c r="C518" s="229"/>
      <c r="D518" s="229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  <c r="AA518" s="174"/>
      <c r="AB518" s="174"/>
      <c r="AC518" s="174"/>
      <c r="AD518" s="174"/>
    </row>
    <row r="519" spans="1:30" ht="15.75" customHeight="1" x14ac:dyDescent="0.2">
      <c r="A519" s="174"/>
      <c r="B519" s="174"/>
      <c r="C519" s="229"/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  <c r="AA519" s="174"/>
      <c r="AB519" s="174"/>
      <c r="AC519" s="174"/>
      <c r="AD519" s="174"/>
    </row>
    <row r="520" spans="1:30" ht="15.75" customHeight="1" x14ac:dyDescent="0.2">
      <c r="A520" s="174"/>
      <c r="B520" s="174"/>
      <c r="C520" s="229"/>
      <c r="D520" s="229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  <c r="AA520" s="174"/>
      <c r="AB520" s="174"/>
      <c r="AC520" s="174"/>
      <c r="AD520" s="174"/>
    </row>
    <row r="521" spans="1:30" ht="15.75" customHeight="1" x14ac:dyDescent="0.2">
      <c r="A521" s="174"/>
      <c r="B521" s="174"/>
      <c r="C521" s="229"/>
      <c r="D521" s="229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  <c r="AA521" s="174"/>
      <c r="AB521" s="174"/>
      <c r="AC521" s="174"/>
      <c r="AD521" s="174"/>
    </row>
    <row r="522" spans="1:30" ht="15.75" customHeight="1" x14ac:dyDescent="0.2">
      <c r="A522" s="174"/>
      <c r="B522" s="174"/>
      <c r="C522" s="229"/>
      <c r="D522" s="229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  <c r="AA522" s="174"/>
      <c r="AB522" s="174"/>
      <c r="AC522" s="174"/>
      <c r="AD522" s="174"/>
    </row>
    <row r="523" spans="1:30" ht="15.75" customHeight="1" x14ac:dyDescent="0.2">
      <c r="A523" s="174"/>
      <c r="B523" s="174"/>
      <c r="C523" s="229"/>
      <c r="D523" s="229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  <c r="AA523" s="174"/>
      <c r="AB523" s="174"/>
      <c r="AC523" s="174"/>
      <c r="AD523" s="174"/>
    </row>
    <row r="524" spans="1:30" ht="15.75" customHeight="1" x14ac:dyDescent="0.2">
      <c r="A524" s="174"/>
      <c r="B524" s="174"/>
      <c r="C524" s="229"/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  <c r="AA524" s="174"/>
      <c r="AB524" s="174"/>
      <c r="AC524" s="174"/>
      <c r="AD524" s="174"/>
    </row>
    <row r="525" spans="1:30" ht="15.75" customHeight="1" x14ac:dyDescent="0.2">
      <c r="A525" s="174"/>
      <c r="B525" s="174"/>
      <c r="C525" s="229"/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  <c r="AA525" s="174"/>
      <c r="AB525" s="174"/>
      <c r="AC525" s="174"/>
      <c r="AD525" s="174"/>
    </row>
    <row r="526" spans="1:30" ht="15.75" customHeight="1" x14ac:dyDescent="0.2">
      <c r="A526" s="174"/>
      <c r="B526" s="174"/>
      <c r="C526" s="229"/>
      <c r="D526" s="229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  <c r="AC526" s="174"/>
      <c r="AD526" s="174"/>
    </row>
    <row r="527" spans="1:30" ht="15.75" customHeight="1" x14ac:dyDescent="0.2">
      <c r="A527" s="174"/>
      <c r="B527" s="174"/>
      <c r="C527" s="229"/>
      <c r="D527" s="229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  <c r="AA527" s="174"/>
      <c r="AB527" s="174"/>
      <c r="AC527" s="174"/>
      <c r="AD527" s="174"/>
    </row>
    <row r="528" spans="1:30" ht="15.75" customHeight="1" x14ac:dyDescent="0.2">
      <c r="A528" s="174"/>
      <c r="B528" s="174"/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  <c r="AC528" s="174"/>
      <c r="AD528" s="174"/>
    </row>
    <row r="529" spans="1:30" ht="15.75" customHeight="1" x14ac:dyDescent="0.2">
      <c r="A529" s="174"/>
      <c r="B529" s="174"/>
      <c r="C529" s="229"/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  <c r="AC529" s="174"/>
      <c r="AD529" s="174"/>
    </row>
    <row r="530" spans="1:30" ht="15.75" customHeight="1" x14ac:dyDescent="0.2">
      <c r="A530" s="174"/>
      <c r="B530" s="174"/>
      <c r="C530" s="229"/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</row>
    <row r="531" spans="1:30" ht="15.75" customHeight="1" x14ac:dyDescent="0.2">
      <c r="A531" s="174"/>
      <c r="B531" s="174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  <c r="AC531" s="174"/>
      <c r="AD531" s="174"/>
    </row>
    <row r="532" spans="1:30" ht="15.75" customHeight="1" x14ac:dyDescent="0.2">
      <c r="A532" s="174"/>
      <c r="B532" s="174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  <c r="AC532" s="174"/>
      <c r="AD532" s="174"/>
    </row>
    <row r="533" spans="1:30" ht="15.75" customHeight="1" x14ac:dyDescent="0.2">
      <c r="A533" s="174"/>
      <c r="B533" s="174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  <c r="AC533" s="174"/>
      <c r="AD533" s="174"/>
    </row>
    <row r="534" spans="1:30" ht="15.75" customHeight="1" x14ac:dyDescent="0.2">
      <c r="A534" s="174"/>
      <c r="B534" s="174"/>
      <c r="C534" s="229"/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  <c r="AD534" s="174"/>
    </row>
    <row r="535" spans="1:30" ht="15.75" customHeight="1" x14ac:dyDescent="0.2">
      <c r="A535" s="174"/>
      <c r="B535" s="174"/>
      <c r="C535" s="229"/>
      <c r="D535" s="229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  <c r="AC535" s="174"/>
      <c r="AD535" s="174"/>
    </row>
    <row r="536" spans="1:30" ht="15.75" customHeight="1" x14ac:dyDescent="0.2">
      <c r="A536" s="174"/>
      <c r="B536" s="174"/>
      <c r="C536" s="229"/>
      <c r="D536" s="229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</row>
    <row r="537" spans="1:30" ht="15.75" customHeight="1" x14ac:dyDescent="0.2">
      <c r="A537" s="174"/>
      <c r="B537" s="174"/>
      <c r="C537" s="229"/>
      <c r="D537" s="229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  <c r="AA537" s="174"/>
      <c r="AB537" s="174"/>
      <c r="AC537" s="174"/>
      <c r="AD537" s="174"/>
    </row>
    <row r="538" spans="1:30" ht="15.75" customHeight="1" x14ac:dyDescent="0.2">
      <c r="A538" s="174"/>
      <c r="B538" s="174"/>
      <c r="C538" s="229"/>
      <c r="D538" s="229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  <c r="AC538" s="174"/>
      <c r="AD538" s="174"/>
    </row>
    <row r="539" spans="1:30" ht="15.75" customHeight="1" x14ac:dyDescent="0.2">
      <c r="A539" s="174"/>
      <c r="B539" s="174"/>
      <c r="C539" s="229"/>
      <c r="D539" s="229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  <c r="AC539" s="174"/>
      <c r="AD539" s="174"/>
    </row>
    <row r="540" spans="1:30" ht="15.75" customHeight="1" x14ac:dyDescent="0.2">
      <c r="A540" s="174"/>
      <c r="B540" s="174"/>
      <c r="C540" s="229"/>
      <c r="D540" s="229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  <c r="AC540" s="174"/>
      <c r="AD540" s="174"/>
    </row>
    <row r="541" spans="1:30" ht="15.75" customHeight="1" x14ac:dyDescent="0.2">
      <c r="A541" s="174"/>
      <c r="B541" s="174"/>
      <c r="C541" s="229"/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  <c r="AC541" s="174"/>
      <c r="AD541" s="174"/>
    </row>
    <row r="542" spans="1:30" ht="15.75" customHeight="1" x14ac:dyDescent="0.2">
      <c r="A542" s="174"/>
      <c r="B542" s="174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  <c r="AC542" s="174"/>
      <c r="AD542" s="174"/>
    </row>
    <row r="543" spans="1:30" ht="15.75" customHeight="1" x14ac:dyDescent="0.2">
      <c r="A543" s="174"/>
      <c r="B543" s="174"/>
      <c r="C543" s="229"/>
      <c r="D543" s="229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  <c r="AC543" s="174"/>
      <c r="AD543" s="174"/>
    </row>
    <row r="544" spans="1:30" ht="15.75" customHeight="1" x14ac:dyDescent="0.2">
      <c r="A544" s="174"/>
      <c r="B544" s="174"/>
      <c r="C544" s="229"/>
      <c r="D544" s="229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  <c r="AC544" s="174"/>
      <c r="AD544" s="174"/>
    </row>
    <row r="545" spans="1:30" ht="15.75" customHeight="1" x14ac:dyDescent="0.2">
      <c r="A545" s="174"/>
      <c r="B545" s="174"/>
      <c r="C545" s="229"/>
      <c r="D545" s="229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  <c r="AC545" s="174"/>
      <c r="AD545" s="174"/>
    </row>
    <row r="546" spans="1:30" ht="15.75" customHeight="1" x14ac:dyDescent="0.2">
      <c r="A546" s="174"/>
      <c r="B546" s="174"/>
      <c r="C546" s="229"/>
      <c r="D546" s="229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  <c r="AC546" s="174"/>
      <c r="AD546" s="174"/>
    </row>
    <row r="547" spans="1:30" ht="15.75" customHeight="1" x14ac:dyDescent="0.2">
      <c r="A547" s="174"/>
      <c r="B547" s="174"/>
      <c r="C547" s="229"/>
      <c r="D547" s="229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  <c r="AA547" s="174"/>
      <c r="AB547" s="174"/>
      <c r="AC547" s="174"/>
      <c r="AD547" s="174"/>
    </row>
    <row r="548" spans="1:30" ht="15.75" customHeight="1" x14ac:dyDescent="0.2">
      <c r="A548" s="174"/>
      <c r="B548" s="174"/>
      <c r="C548" s="229"/>
      <c r="D548" s="229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  <c r="AC548" s="174"/>
      <c r="AD548" s="174"/>
    </row>
    <row r="549" spans="1:30" ht="15.75" customHeight="1" x14ac:dyDescent="0.2">
      <c r="A549" s="174"/>
      <c r="B549" s="174"/>
      <c r="C549" s="229"/>
      <c r="D549" s="229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  <c r="AA549" s="174"/>
      <c r="AB549" s="174"/>
      <c r="AC549" s="174"/>
      <c r="AD549" s="174"/>
    </row>
    <row r="550" spans="1:30" ht="15.75" customHeight="1" x14ac:dyDescent="0.2">
      <c r="A550" s="174"/>
      <c r="B550" s="174"/>
      <c r="C550" s="229"/>
      <c r="D550" s="229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  <c r="AA550" s="174"/>
      <c r="AB550" s="174"/>
      <c r="AC550" s="174"/>
      <c r="AD550" s="174"/>
    </row>
    <row r="551" spans="1:30" ht="15.75" customHeight="1" x14ac:dyDescent="0.2">
      <c r="A551" s="174"/>
      <c r="B551" s="174"/>
      <c r="C551" s="229"/>
      <c r="D551" s="229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  <c r="AA551" s="174"/>
      <c r="AB551" s="174"/>
      <c r="AC551" s="174"/>
      <c r="AD551" s="174"/>
    </row>
    <row r="552" spans="1:30" ht="15.75" customHeight="1" x14ac:dyDescent="0.2">
      <c r="A552" s="174"/>
      <c r="B552" s="174"/>
      <c r="C552" s="229"/>
      <c r="D552" s="229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  <c r="AC552" s="174"/>
      <c r="AD552" s="174"/>
    </row>
    <row r="553" spans="1:30" ht="15.75" customHeight="1" x14ac:dyDescent="0.2">
      <c r="A553" s="174"/>
      <c r="B553" s="174"/>
      <c r="C553" s="229"/>
      <c r="D553" s="229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  <c r="AA553" s="174"/>
      <c r="AB553" s="174"/>
      <c r="AC553" s="174"/>
      <c r="AD553" s="174"/>
    </row>
    <row r="554" spans="1:30" ht="15.75" customHeight="1" x14ac:dyDescent="0.2">
      <c r="A554" s="174"/>
      <c r="B554" s="174"/>
      <c r="C554" s="229"/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  <c r="AA554" s="174"/>
      <c r="AB554" s="174"/>
      <c r="AC554" s="174"/>
      <c r="AD554" s="174"/>
    </row>
    <row r="555" spans="1:30" ht="15.75" customHeight="1" x14ac:dyDescent="0.2">
      <c r="A555" s="174"/>
      <c r="B555" s="174"/>
      <c r="C555" s="229"/>
      <c r="D555" s="229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</row>
    <row r="556" spans="1:30" ht="15.75" customHeight="1" x14ac:dyDescent="0.2">
      <c r="A556" s="174"/>
      <c r="B556" s="174"/>
      <c r="C556" s="229"/>
      <c r="D556" s="229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  <c r="AA556" s="174"/>
      <c r="AB556" s="174"/>
      <c r="AC556" s="174"/>
      <c r="AD556" s="174"/>
    </row>
    <row r="557" spans="1:30" ht="15.75" customHeight="1" x14ac:dyDescent="0.2">
      <c r="A557" s="174"/>
      <c r="B557" s="174"/>
      <c r="C557" s="229"/>
      <c r="D557" s="229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  <c r="AA557" s="174"/>
      <c r="AB557" s="174"/>
      <c r="AC557" s="174"/>
      <c r="AD557" s="174"/>
    </row>
    <row r="558" spans="1:30" ht="15.75" customHeight="1" x14ac:dyDescent="0.2">
      <c r="A558" s="174"/>
      <c r="B558" s="174"/>
      <c r="C558" s="229"/>
      <c r="D558" s="229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  <c r="AA558" s="174"/>
      <c r="AB558" s="174"/>
      <c r="AC558" s="174"/>
      <c r="AD558" s="174"/>
    </row>
    <row r="559" spans="1:30" ht="15.75" customHeight="1" x14ac:dyDescent="0.2">
      <c r="A559" s="174"/>
      <c r="B559" s="174"/>
      <c r="C559" s="229"/>
      <c r="D559" s="229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  <c r="AA559" s="174"/>
      <c r="AB559" s="174"/>
      <c r="AC559" s="174"/>
      <c r="AD559" s="174"/>
    </row>
    <row r="560" spans="1:30" ht="15.75" customHeight="1" x14ac:dyDescent="0.2">
      <c r="A560" s="174"/>
      <c r="B560" s="174"/>
      <c r="C560" s="229"/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  <c r="AA560" s="174"/>
      <c r="AB560" s="174"/>
      <c r="AC560" s="174"/>
      <c r="AD560" s="174"/>
    </row>
    <row r="561" spans="1:30" ht="15.75" customHeight="1" x14ac:dyDescent="0.2">
      <c r="A561" s="174"/>
      <c r="B561" s="174"/>
      <c r="C561" s="229"/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174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  <c r="AA561" s="174"/>
      <c r="AB561" s="174"/>
      <c r="AC561" s="174"/>
      <c r="AD561" s="174"/>
    </row>
    <row r="562" spans="1:30" ht="15.75" customHeight="1" x14ac:dyDescent="0.2">
      <c r="A562" s="174"/>
      <c r="B562" s="174"/>
      <c r="C562" s="229"/>
      <c r="D562" s="229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  <c r="AA562" s="174"/>
      <c r="AB562" s="174"/>
      <c r="AC562" s="174"/>
      <c r="AD562" s="174"/>
    </row>
    <row r="563" spans="1:30" ht="15.75" customHeight="1" x14ac:dyDescent="0.2">
      <c r="A563" s="174"/>
      <c r="B563" s="174"/>
      <c r="C563" s="229"/>
      <c r="D563" s="229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  <c r="AA563" s="174"/>
      <c r="AB563" s="174"/>
      <c r="AC563" s="174"/>
      <c r="AD563" s="174"/>
    </row>
    <row r="564" spans="1:30" ht="15.75" customHeight="1" x14ac:dyDescent="0.2">
      <c r="A564" s="174"/>
      <c r="B564" s="174"/>
      <c r="C564" s="229"/>
      <c r="D564" s="229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  <c r="AA564" s="174"/>
      <c r="AB564" s="174"/>
      <c r="AC564" s="174"/>
      <c r="AD564" s="174"/>
    </row>
    <row r="565" spans="1:30" ht="15.75" customHeight="1" x14ac:dyDescent="0.2">
      <c r="A565" s="174"/>
      <c r="B565" s="174"/>
      <c r="C565" s="229"/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  <c r="AA565" s="174"/>
      <c r="AB565" s="174"/>
      <c r="AC565" s="174"/>
      <c r="AD565" s="174"/>
    </row>
    <row r="566" spans="1:30" ht="15.75" customHeight="1" x14ac:dyDescent="0.2">
      <c r="A566" s="174"/>
      <c r="B566" s="174"/>
      <c r="C566" s="229"/>
      <c r="D566" s="229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174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  <c r="AA566" s="174"/>
      <c r="AB566" s="174"/>
      <c r="AC566" s="174"/>
      <c r="AD566" s="174"/>
    </row>
    <row r="567" spans="1:30" ht="15.75" customHeight="1" x14ac:dyDescent="0.2">
      <c r="A567" s="174"/>
      <c r="B567" s="174"/>
      <c r="C567" s="229"/>
      <c r="D567" s="229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174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  <c r="AA567" s="174"/>
      <c r="AB567" s="174"/>
      <c r="AC567" s="174"/>
      <c r="AD567" s="174"/>
    </row>
    <row r="568" spans="1:30" ht="15.75" customHeight="1" x14ac:dyDescent="0.2">
      <c r="A568" s="174"/>
      <c r="B568" s="174"/>
      <c r="C568" s="229"/>
      <c r="D568" s="229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174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  <c r="AA568" s="174"/>
      <c r="AB568" s="174"/>
      <c r="AC568" s="174"/>
      <c r="AD568" s="174"/>
    </row>
    <row r="569" spans="1:30" ht="15.75" customHeight="1" x14ac:dyDescent="0.2">
      <c r="A569" s="174"/>
      <c r="B569" s="174"/>
      <c r="C569" s="229"/>
      <c r="D569" s="229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174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  <c r="AA569" s="174"/>
      <c r="AB569" s="174"/>
      <c r="AC569" s="174"/>
      <c r="AD569" s="174"/>
    </row>
    <row r="570" spans="1:30" ht="15.75" customHeight="1" x14ac:dyDescent="0.2">
      <c r="A570" s="174"/>
      <c r="B570" s="174"/>
      <c r="C570" s="229"/>
      <c r="D570" s="229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174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  <c r="AA570" s="174"/>
      <c r="AB570" s="174"/>
      <c r="AC570" s="174"/>
      <c r="AD570" s="174"/>
    </row>
    <row r="571" spans="1:30" ht="15.75" customHeight="1" x14ac:dyDescent="0.2">
      <c r="A571" s="174"/>
      <c r="B571" s="174"/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174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  <c r="AA571" s="174"/>
      <c r="AB571" s="174"/>
      <c r="AC571" s="174"/>
      <c r="AD571" s="174"/>
    </row>
    <row r="572" spans="1:30" ht="15.75" customHeight="1" x14ac:dyDescent="0.2">
      <c r="A572" s="174"/>
      <c r="B572" s="174"/>
      <c r="C572" s="229"/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174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  <c r="AA572" s="174"/>
      <c r="AB572" s="174"/>
      <c r="AC572" s="174"/>
      <c r="AD572" s="174"/>
    </row>
    <row r="573" spans="1:30" ht="15.75" customHeight="1" x14ac:dyDescent="0.2">
      <c r="A573" s="174"/>
      <c r="B573" s="174"/>
      <c r="C573" s="229"/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174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  <c r="AA573" s="174"/>
      <c r="AB573" s="174"/>
      <c r="AC573" s="174"/>
      <c r="AD573" s="174"/>
    </row>
    <row r="574" spans="1:30" ht="15.75" customHeight="1" x14ac:dyDescent="0.2">
      <c r="A574" s="174"/>
      <c r="B574" s="174"/>
      <c r="C574" s="229"/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174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  <c r="AA574" s="174"/>
      <c r="AB574" s="174"/>
      <c r="AC574" s="174"/>
      <c r="AD574" s="174"/>
    </row>
    <row r="575" spans="1:30" ht="15.75" customHeight="1" x14ac:dyDescent="0.2">
      <c r="A575" s="174"/>
      <c r="B575" s="174"/>
      <c r="C575" s="229"/>
      <c r="D575" s="229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174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  <c r="AA575" s="174"/>
      <c r="AB575" s="174"/>
      <c r="AC575" s="174"/>
      <c r="AD575" s="174"/>
    </row>
    <row r="576" spans="1:30" ht="15.75" customHeight="1" x14ac:dyDescent="0.2">
      <c r="A576" s="174"/>
      <c r="B576" s="174"/>
      <c r="C576" s="229"/>
      <c r="D576" s="229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  <c r="AA576" s="174"/>
      <c r="AB576" s="174"/>
      <c r="AC576" s="174"/>
      <c r="AD576" s="174"/>
    </row>
    <row r="577" spans="1:30" ht="15.75" customHeight="1" x14ac:dyDescent="0.2">
      <c r="A577" s="174"/>
      <c r="B577" s="174"/>
      <c r="C577" s="229"/>
      <c r="D577" s="229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  <c r="AA577" s="174"/>
      <c r="AB577" s="174"/>
      <c r="AC577" s="174"/>
      <c r="AD577" s="174"/>
    </row>
    <row r="578" spans="1:30" ht="15.75" customHeight="1" x14ac:dyDescent="0.2">
      <c r="A578" s="174"/>
      <c r="B578" s="174"/>
      <c r="C578" s="229"/>
      <c r="D578" s="229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  <c r="AA578" s="174"/>
      <c r="AB578" s="174"/>
      <c r="AC578" s="174"/>
      <c r="AD578" s="174"/>
    </row>
    <row r="579" spans="1:30" ht="15.75" customHeight="1" x14ac:dyDescent="0.2">
      <c r="A579" s="174"/>
      <c r="B579" s="174"/>
      <c r="C579" s="229"/>
      <c r="D579" s="229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  <c r="AA579" s="174"/>
      <c r="AB579" s="174"/>
      <c r="AC579" s="174"/>
      <c r="AD579" s="174"/>
    </row>
    <row r="580" spans="1:30" ht="15.75" customHeight="1" x14ac:dyDescent="0.2">
      <c r="A580" s="174"/>
      <c r="B580" s="174"/>
      <c r="C580" s="229"/>
      <c r="D580" s="229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174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  <c r="AA580" s="174"/>
      <c r="AB580" s="174"/>
      <c r="AC580" s="174"/>
      <c r="AD580" s="174"/>
    </row>
    <row r="581" spans="1:30" ht="15.75" customHeight="1" x14ac:dyDescent="0.2">
      <c r="A581" s="174"/>
      <c r="B581" s="174"/>
      <c r="C581" s="229"/>
      <c r="D581" s="229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174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  <c r="AA581" s="174"/>
      <c r="AB581" s="174"/>
      <c r="AC581" s="174"/>
      <c r="AD581" s="174"/>
    </row>
    <row r="582" spans="1:30" ht="15.75" customHeight="1" x14ac:dyDescent="0.2">
      <c r="A582" s="174"/>
      <c r="B582" s="174"/>
      <c r="C582" s="229"/>
      <c r="D582" s="229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174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  <c r="AA582" s="174"/>
      <c r="AB582" s="174"/>
      <c r="AC582" s="174"/>
      <c r="AD582" s="174"/>
    </row>
    <row r="583" spans="1:30" ht="15.75" customHeight="1" x14ac:dyDescent="0.2">
      <c r="A583" s="174"/>
      <c r="B583" s="174"/>
      <c r="C583" s="229"/>
      <c r="D583" s="229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174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  <c r="AA583" s="174"/>
      <c r="AB583" s="174"/>
      <c r="AC583" s="174"/>
      <c r="AD583" s="174"/>
    </row>
    <row r="584" spans="1:30" ht="15.75" customHeight="1" x14ac:dyDescent="0.2">
      <c r="A584" s="174"/>
      <c r="B584" s="174"/>
      <c r="C584" s="229"/>
      <c r="D584" s="229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174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  <c r="AA584" s="174"/>
      <c r="AB584" s="174"/>
      <c r="AC584" s="174"/>
      <c r="AD584" s="174"/>
    </row>
    <row r="585" spans="1:30" ht="15.75" customHeight="1" x14ac:dyDescent="0.2">
      <c r="A585" s="174"/>
      <c r="B585" s="174"/>
      <c r="C585" s="229"/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174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  <c r="AA585" s="174"/>
      <c r="AB585" s="174"/>
      <c r="AC585" s="174"/>
      <c r="AD585" s="174"/>
    </row>
    <row r="586" spans="1:30" ht="15.75" customHeight="1" x14ac:dyDescent="0.2">
      <c r="A586" s="174"/>
      <c r="B586" s="174"/>
      <c r="C586" s="229"/>
      <c r="D586" s="229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174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  <c r="AA586" s="174"/>
      <c r="AB586" s="174"/>
      <c r="AC586" s="174"/>
      <c r="AD586" s="174"/>
    </row>
    <row r="587" spans="1:30" ht="15.75" customHeight="1" x14ac:dyDescent="0.2">
      <c r="A587" s="174"/>
      <c r="B587" s="174"/>
      <c r="C587" s="229"/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174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  <c r="AA587" s="174"/>
      <c r="AB587" s="174"/>
      <c r="AC587" s="174"/>
      <c r="AD587" s="174"/>
    </row>
    <row r="588" spans="1:30" ht="15.75" customHeight="1" x14ac:dyDescent="0.2">
      <c r="A588" s="174"/>
      <c r="B588" s="174"/>
      <c r="C588" s="229"/>
      <c r="D588" s="229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174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  <c r="AA588" s="174"/>
      <c r="AB588" s="174"/>
      <c r="AC588" s="174"/>
      <c r="AD588" s="174"/>
    </row>
    <row r="589" spans="1:30" ht="15.75" customHeight="1" x14ac:dyDescent="0.2">
      <c r="A589" s="174"/>
      <c r="B589" s="174"/>
      <c r="C589" s="229"/>
      <c r="D589" s="229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174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  <c r="AA589" s="174"/>
      <c r="AB589" s="174"/>
      <c r="AC589" s="174"/>
      <c r="AD589" s="174"/>
    </row>
    <row r="590" spans="1:30" ht="15.75" customHeight="1" x14ac:dyDescent="0.2">
      <c r="A590" s="174"/>
      <c r="B590" s="174"/>
      <c r="C590" s="229"/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174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  <c r="AA590" s="174"/>
      <c r="AB590" s="174"/>
      <c r="AC590" s="174"/>
      <c r="AD590" s="174"/>
    </row>
    <row r="591" spans="1:30" ht="15.75" customHeight="1" x14ac:dyDescent="0.2">
      <c r="A591" s="174"/>
      <c r="B591" s="174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174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  <c r="AA591" s="174"/>
      <c r="AB591" s="174"/>
      <c r="AC591" s="174"/>
      <c r="AD591" s="174"/>
    </row>
    <row r="592" spans="1:30" ht="15.75" customHeight="1" x14ac:dyDescent="0.2">
      <c r="A592" s="174"/>
      <c r="B592" s="174"/>
      <c r="C592" s="229"/>
      <c r="D592" s="229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  <c r="AA592" s="174"/>
      <c r="AB592" s="174"/>
      <c r="AC592" s="174"/>
      <c r="AD592" s="174"/>
    </row>
    <row r="593" spans="1:30" ht="15.75" customHeight="1" x14ac:dyDescent="0.2">
      <c r="A593" s="174"/>
      <c r="B593" s="174"/>
      <c r="C593" s="229"/>
      <c r="D593" s="229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  <c r="AA593" s="174"/>
      <c r="AB593" s="174"/>
      <c r="AC593" s="174"/>
      <c r="AD593" s="174"/>
    </row>
    <row r="594" spans="1:30" ht="15.75" customHeight="1" x14ac:dyDescent="0.2">
      <c r="A594" s="174"/>
      <c r="B594" s="174"/>
      <c r="C594" s="229"/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174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  <c r="AA594" s="174"/>
      <c r="AB594" s="174"/>
      <c r="AC594" s="174"/>
      <c r="AD594" s="174"/>
    </row>
    <row r="595" spans="1:30" ht="15.75" customHeight="1" x14ac:dyDescent="0.2">
      <c r="A595" s="174"/>
      <c r="B595" s="174"/>
      <c r="C595" s="229"/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174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  <c r="AA595" s="174"/>
      <c r="AB595" s="174"/>
      <c r="AC595" s="174"/>
      <c r="AD595" s="174"/>
    </row>
    <row r="596" spans="1:30" ht="15.75" customHeight="1" x14ac:dyDescent="0.2">
      <c r="A596" s="174"/>
      <c r="B596" s="174"/>
      <c r="C596" s="229"/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174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  <c r="AA596" s="174"/>
      <c r="AB596" s="174"/>
      <c r="AC596" s="174"/>
      <c r="AD596" s="174"/>
    </row>
    <row r="597" spans="1:30" ht="15.75" customHeight="1" x14ac:dyDescent="0.2">
      <c r="A597" s="174"/>
      <c r="B597" s="174"/>
      <c r="C597" s="229"/>
      <c r="D597" s="229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174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  <c r="AA597" s="174"/>
      <c r="AB597" s="174"/>
      <c r="AC597" s="174"/>
      <c r="AD597" s="174"/>
    </row>
    <row r="598" spans="1:30" ht="15.75" customHeight="1" x14ac:dyDescent="0.2">
      <c r="A598" s="174"/>
      <c r="B598" s="174"/>
      <c r="C598" s="229"/>
      <c r="D598" s="229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174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  <c r="AA598" s="174"/>
      <c r="AB598" s="174"/>
      <c r="AC598" s="174"/>
      <c r="AD598" s="174"/>
    </row>
    <row r="599" spans="1:30" ht="15.75" customHeight="1" x14ac:dyDescent="0.2">
      <c r="A599" s="174"/>
      <c r="B599" s="174"/>
      <c r="C599" s="229"/>
      <c r="D599" s="229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174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  <c r="AA599" s="174"/>
      <c r="AB599" s="174"/>
      <c r="AC599" s="174"/>
      <c r="AD599" s="174"/>
    </row>
    <row r="600" spans="1:30" ht="15.75" customHeight="1" x14ac:dyDescent="0.2">
      <c r="A600" s="174"/>
      <c r="B600" s="174"/>
      <c r="C600" s="229"/>
      <c r="D600" s="229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174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  <c r="AA600" s="174"/>
      <c r="AB600" s="174"/>
      <c r="AC600" s="174"/>
      <c r="AD600" s="174"/>
    </row>
    <row r="601" spans="1:30" ht="15.75" customHeight="1" x14ac:dyDescent="0.2">
      <c r="A601" s="174"/>
      <c r="B601" s="174"/>
      <c r="C601" s="229"/>
      <c r="D601" s="229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  <c r="AC601" s="174"/>
      <c r="AD601" s="174"/>
    </row>
    <row r="602" spans="1:30" ht="15.75" customHeight="1" x14ac:dyDescent="0.2">
      <c r="A602" s="174"/>
      <c r="B602" s="174"/>
      <c r="C602" s="229"/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  <c r="AA602" s="174"/>
      <c r="AB602" s="174"/>
      <c r="AC602" s="174"/>
      <c r="AD602" s="174"/>
    </row>
    <row r="603" spans="1:30" ht="15.75" customHeight="1" x14ac:dyDescent="0.2">
      <c r="A603" s="174"/>
      <c r="B603" s="174"/>
      <c r="C603" s="229"/>
      <c r="D603" s="229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  <c r="AA603" s="174"/>
      <c r="AB603" s="174"/>
      <c r="AC603" s="174"/>
      <c r="AD603" s="174"/>
    </row>
    <row r="604" spans="1:30" ht="15.75" customHeight="1" x14ac:dyDescent="0.2">
      <c r="A604" s="174"/>
      <c r="B604" s="174"/>
      <c r="C604" s="229"/>
      <c r="D604" s="229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  <c r="AA604" s="174"/>
      <c r="AB604" s="174"/>
      <c r="AC604" s="174"/>
      <c r="AD604" s="174"/>
    </row>
    <row r="605" spans="1:30" ht="15.75" customHeight="1" x14ac:dyDescent="0.2">
      <c r="A605" s="174"/>
      <c r="B605" s="174"/>
      <c r="C605" s="229"/>
      <c r="D605" s="229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  <c r="AA605" s="174"/>
      <c r="AB605" s="174"/>
      <c r="AC605" s="174"/>
      <c r="AD605" s="174"/>
    </row>
    <row r="606" spans="1:30" ht="15.75" customHeight="1" x14ac:dyDescent="0.2">
      <c r="A606" s="174"/>
      <c r="B606" s="174"/>
      <c r="C606" s="229"/>
      <c r="D606" s="229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  <c r="AA606" s="174"/>
      <c r="AB606" s="174"/>
      <c r="AC606" s="174"/>
      <c r="AD606" s="174"/>
    </row>
    <row r="607" spans="1:30" ht="15.75" customHeight="1" x14ac:dyDescent="0.2">
      <c r="A607" s="174"/>
      <c r="B607" s="174"/>
      <c r="C607" s="229"/>
      <c r="D607" s="229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  <c r="AC607" s="174"/>
      <c r="AD607" s="174"/>
    </row>
    <row r="608" spans="1:30" ht="15.75" customHeight="1" x14ac:dyDescent="0.2">
      <c r="A608" s="174"/>
      <c r="B608" s="174"/>
      <c r="C608" s="229"/>
      <c r="D608" s="229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  <c r="AC608" s="174"/>
      <c r="AD608" s="174"/>
    </row>
    <row r="609" spans="1:30" ht="15.75" customHeight="1" x14ac:dyDescent="0.2">
      <c r="A609" s="174"/>
      <c r="B609" s="174"/>
      <c r="C609" s="229"/>
      <c r="D609" s="229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  <c r="AC609" s="174"/>
      <c r="AD609" s="174"/>
    </row>
    <row r="610" spans="1:30" ht="15.75" customHeight="1" x14ac:dyDescent="0.2">
      <c r="A610" s="174"/>
      <c r="B610" s="174"/>
      <c r="C610" s="229"/>
      <c r="D610" s="229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  <c r="AA610" s="174"/>
      <c r="AB610" s="174"/>
      <c r="AC610" s="174"/>
      <c r="AD610" s="174"/>
    </row>
    <row r="611" spans="1:30" ht="15.75" customHeight="1" x14ac:dyDescent="0.2">
      <c r="A611" s="174"/>
      <c r="B611" s="174"/>
      <c r="C611" s="229"/>
      <c r="D611" s="229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  <c r="AA611" s="174"/>
      <c r="AB611" s="174"/>
      <c r="AC611" s="174"/>
      <c r="AD611" s="174"/>
    </row>
    <row r="612" spans="1:30" ht="15.75" customHeight="1" x14ac:dyDescent="0.2">
      <c r="A612" s="174"/>
      <c r="B612" s="174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  <c r="AA612" s="174"/>
      <c r="AB612" s="174"/>
      <c r="AC612" s="174"/>
      <c r="AD612" s="174"/>
    </row>
    <row r="613" spans="1:30" ht="15.75" customHeight="1" x14ac:dyDescent="0.2">
      <c r="A613" s="174"/>
      <c r="B613" s="174"/>
      <c r="C613" s="229"/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  <c r="AA613" s="174"/>
      <c r="AB613" s="174"/>
      <c r="AC613" s="174"/>
      <c r="AD613" s="174"/>
    </row>
    <row r="614" spans="1:30" ht="15.75" customHeight="1" x14ac:dyDescent="0.2">
      <c r="A614" s="174"/>
      <c r="B614" s="174"/>
      <c r="C614" s="229"/>
      <c r="D614" s="229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  <c r="AA614" s="174"/>
      <c r="AB614" s="174"/>
      <c r="AC614" s="174"/>
      <c r="AD614" s="174"/>
    </row>
    <row r="615" spans="1:30" ht="15.75" customHeight="1" x14ac:dyDescent="0.2">
      <c r="A615" s="174"/>
      <c r="B615" s="174"/>
      <c r="C615" s="229"/>
      <c r="D615" s="229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  <c r="AC615" s="174"/>
      <c r="AD615" s="174"/>
    </row>
    <row r="616" spans="1:30" ht="15.75" customHeight="1" x14ac:dyDescent="0.2">
      <c r="A616" s="174"/>
      <c r="B616" s="174"/>
      <c r="C616" s="229"/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  <c r="AA616" s="174"/>
      <c r="AB616" s="174"/>
      <c r="AC616" s="174"/>
      <c r="AD616" s="174"/>
    </row>
    <row r="617" spans="1:30" ht="15.75" customHeight="1" x14ac:dyDescent="0.2">
      <c r="A617" s="174"/>
      <c r="B617" s="174"/>
      <c r="C617" s="229"/>
      <c r="D617" s="229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</row>
    <row r="618" spans="1:30" ht="15.75" customHeight="1" x14ac:dyDescent="0.2">
      <c r="A618" s="174"/>
      <c r="B618" s="174"/>
      <c r="C618" s="229"/>
      <c r="D618" s="229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</row>
    <row r="619" spans="1:30" ht="15.75" customHeight="1" x14ac:dyDescent="0.2">
      <c r="A619" s="174"/>
      <c r="B619" s="174"/>
      <c r="C619" s="229"/>
      <c r="D619" s="229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</row>
    <row r="620" spans="1:30" ht="15.75" customHeight="1" x14ac:dyDescent="0.2">
      <c r="A620" s="174"/>
      <c r="B620" s="174"/>
      <c r="C620" s="229"/>
      <c r="D620" s="229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</row>
    <row r="621" spans="1:30" ht="15.75" customHeight="1" x14ac:dyDescent="0.2">
      <c r="A621" s="174"/>
      <c r="B621" s="174"/>
      <c r="C621" s="229"/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</row>
    <row r="622" spans="1:30" ht="15.75" customHeight="1" x14ac:dyDescent="0.2">
      <c r="A622" s="174"/>
      <c r="B622" s="174"/>
      <c r="C622" s="229"/>
      <c r="D622" s="229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  <c r="AA622" s="174"/>
      <c r="AB622" s="174"/>
      <c r="AC622" s="174"/>
      <c r="AD622" s="174"/>
    </row>
    <row r="623" spans="1:30" ht="15.75" customHeight="1" x14ac:dyDescent="0.2">
      <c r="A623" s="174"/>
      <c r="B623" s="174"/>
      <c r="C623" s="229"/>
      <c r="D623" s="229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  <c r="AC623" s="174"/>
      <c r="AD623" s="174"/>
    </row>
    <row r="624" spans="1:30" ht="15.75" customHeight="1" x14ac:dyDescent="0.2">
      <c r="A624" s="174"/>
      <c r="B624" s="174"/>
      <c r="C624" s="229"/>
      <c r="D624" s="229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  <c r="AC624" s="174"/>
      <c r="AD624" s="174"/>
    </row>
    <row r="625" spans="1:30" ht="15.75" customHeight="1" x14ac:dyDescent="0.2">
      <c r="A625" s="174"/>
      <c r="B625" s="174"/>
      <c r="C625" s="229"/>
      <c r="D625" s="229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  <c r="AC625" s="174"/>
      <c r="AD625" s="174"/>
    </row>
    <row r="626" spans="1:30" ht="15.75" customHeight="1" x14ac:dyDescent="0.2">
      <c r="A626" s="174"/>
      <c r="B626" s="174"/>
      <c r="C626" s="229"/>
      <c r="D626" s="229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  <c r="AC626" s="174"/>
      <c r="AD626" s="174"/>
    </row>
    <row r="627" spans="1:30" ht="15.75" customHeight="1" x14ac:dyDescent="0.2">
      <c r="A627" s="174"/>
      <c r="B627" s="174"/>
      <c r="C627" s="229"/>
      <c r="D627" s="229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  <c r="AC627" s="174"/>
      <c r="AD627" s="174"/>
    </row>
    <row r="628" spans="1:30" ht="15.75" customHeight="1" x14ac:dyDescent="0.2">
      <c r="A628" s="174"/>
      <c r="B628" s="174"/>
      <c r="C628" s="229"/>
      <c r="D628" s="229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  <c r="AC628" s="174"/>
      <c r="AD628" s="174"/>
    </row>
    <row r="629" spans="1:30" ht="15.75" customHeight="1" x14ac:dyDescent="0.2">
      <c r="A629" s="174"/>
      <c r="B629" s="174"/>
      <c r="C629" s="229"/>
      <c r="D629" s="229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  <c r="AC629" s="174"/>
      <c r="AD629" s="174"/>
    </row>
    <row r="630" spans="1:30" ht="15.75" customHeight="1" x14ac:dyDescent="0.2">
      <c r="A630" s="174"/>
      <c r="B630" s="174"/>
      <c r="C630" s="229"/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  <c r="AA630" s="174"/>
      <c r="AB630" s="174"/>
      <c r="AC630" s="174"/>
      <c r="AD630" s="174"/>
    </row>
    <row r="631" spans="1:30" ht="15.75" customHeight="1" x14ac:dyDescent="0.2">
      <c r="A631" s="174"/>
      <c r="B631" s="174"/>
      <c r="C631" s="229"/>
      <c r="D631" s="229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174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  <c r="AA631" s="174"/>
      <c r="AB631" s="174"/>
      <c r="AC631" s="174"/>
      <c r="AD631" s="174"/>
    </row>
    <row r="632" spans="1:30" ht="15.75" customHeight="1" x14ac:dyDescent="0.2">
      <c r="A632" s="174"/>
      <c r="B632" s="174"/>
      <c r="C632" s="229"/>
      <c r="D632" s="229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4"/>
      <c r="AD632" s="174"/>
    </row>
    <row r="633" spans="1:30" ht="15.75" customHeight="1" x14ac:dyDescent="0.2">
      <c r="A633" s="174"/>
      <c r="B633" s="174"/>
      <c r="C633" s="229"/>
      <c r="D633" s="229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  <c r="AC633" s="174"/>
      <c r="AD633" s="174"/>
    </row>
    <row r="634" spans="1:30" ht="15.75" customHeight="1" x14ac:dyDescent="0.2">
      <c r="A634" s="174"/>
      <c r="B634" s="174"/>
      <c r="C634" s="229"/>
      <c r="D634" s="229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  <c r="AA634" s="174"/>
      <c r="AB634" s="174"/>
      <c r="AC634" s="174"/>
      <c r="AD634" s="174"/>
    </row>
    <row r="635" spans="1:30" ht="15.75" customHeight="1" x14ac:dyDescent="0.2">
      <c r="A635" s="174"/>
      <c r="B635" s="174"/>
      <c r="C635" s="229"/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174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  <c r="AA635" s="174"/>
      <c r="AB635" s="174"/>
      <c r="AC635" s="174"/>
      <c r="AD635" s="174"/>
    </row>
    <row r="636" spans="1:30" ht="15.75" customHeight="1" x14ac:dyDescent="0.2">
      <c r="A636" s="174"/>
      <c r="B636" s="174"/>
      <c r="C636" s="229"/>
      <c r="D636" s="229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174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  <c r="AA636" s="174"/>
      <c r="AB636" s="174"/>
      <c r="AC636" s="174"/>
      <c r="AD636" s="174"/>
    </row>
    <row r="637" spans="1:30" ht="15.75" customHeight="1" x14ac:dyDescent="0.2">
      <c r="A637" s="174"/>
      <c r="B637" s="174"/>
      <c r="C637" s="229"/>
      <c r="D637" s="229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  <c r="AC637" s="174"/>
      <c r="AD637" s="174"/>
    </row>
    <row r="638" spans="1:30" ht="15.75" customHeight="1" x14ac:dyDescent="0.2">
      <c r="A638" s="174"/>
      <c r="B638" s="174"/>
      <c r="C638" s="229"/>
      <c r="D638" s="229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  <c r="AA638" s="174"/>
      <c r="AB638" s="174"/>
      <c r="AC638" s="174"/>
      <c r="AD638" s="174"/>
    </row>
    <row r="639" spans="1:30" ht="15.75" customHeight="1" x14ac:dyDescent="0.2">
      <c r="A639" s="174"/>
      <c r="B639" s="174"/>
      <c r="C639" s="229"/>
      <c r="D639" s="229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  <c r="AA639" s="174"/>
      <c r="AB639" s="174"/>
      <c r="AC639" s="174"/>
      <c r="AD639" s="174"/>
    </row>
    <row r="640" spans="1:30" ht="15.75" customHeight="1" x14ac:dyDescent="0.2">
      <c r="A640" s="174"/>
      <c r="B640" s="174"/>
      <c r="C640" s="229"/>
      <c r="D640" s="229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  <c r="AA640" s="174"/>
      <c r="AB640" s="174"/>
      <c r="AC640" s="174"/>
      <c r="AD640" s="174"/>
    </row>
    <row r="641" spans="1:30" ht="15.75" customHeight="1" x14ac:dyDescent="0.2">
      <c r="A641" s="174"/>
      <c r="B641" s="174"/>
      <c r="C641" s="229"/>
      <c r="D641" s="229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  <c r="AA641" s="174"/>
      <c r="AB641" s="174"/>
      <c r="AC641" s="174"/>
      <c r="AD641" s="174"/>
    </row>
    <row r="642" spans="1:30" ht="15.75" customHeight="1" x14ac:dyDescent="0.2">
      <c r="A642" s="174"/>
      <c r="B642" s="174"/>
      <c r="C642" s="229"/>
      <c r="D642" s="229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  <c r="AA642" s="174"/>
      <c r="AB642" s="174"/>
      <c r="AC642" s="174"/>
      <c r="AD642" s="174"/>
    </row>
    <row r="643" spans="1:30" ht="15.75" customHeight="1" x14ac:dyDescent="0.2">
      <c r="A643" s="174"/>
      <c r="B643" s="174"/>
      <c r="C643" s="229"/>
      <c r="D643" s="229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  <c r="AA643" s="174"/>
      <c r="AB643" s="174"/>
      <c r="AC643" s="174"/>
      <c r="AD643" s="174"/>
    </row>
    <row r="644" spans="1:30" ht="15.75" customHeight="1" x14ac:dyDescent="0.2">
      <c r="A644" s="174"/>
      <c r="B644" s="174"/>
      <c r="C644" s="229"/>
      <c r="D644" s="229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  <c r="AA644" s="174"/>
      <c r="AB644" s="174"/>
      <c r="AC644" s="174"/>
      <c r="AD644" s="174"/>
    </row>
    <row r="645" spans="1:30" ht="15.75" customHeight="1" x14ac:dyDescent="0.2">
      <c r="A645" s="174"/>
      <c r="B645" s="174"/>
      <c r="C645" s="229"/>
      <c r="D645" s="229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  <c r="AA645" s="174"/>
      <c r="AB645" s="174"/>
      <c r="AC645" s="174"/>
      <c r="AD645" s="174"/>
    </row>
    <row r="646" spans="1:30" ht="15.75" customHeight="1" x14ac:dyDescent="0.2">
      <c r="A646" s="174"/>
      <c r="B646" s="174"/>
      <c r="C646" s="229"/>
      <c r="D646" s="229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174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  <c r="AA646" s="174"/>
      <c r="AB646" s="174"/>
      <c r="AC646" s="174"/>
      <c r="AD646" s="174"/>
    </row>
    <row r="647" spans="1:30" ht="15.75" customHeight="1" x14ac:dyDescent="0.2">
      <c r="A647" s="174"/>
      <c r="B647" s="174"/>
      <c r="C647" s="229"/>
      <c r="D647" s="229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  <c r="AA647" s="174"/>
      <c r="AB647" s="174"/>
      <c r="AC647" s="174"/>
      <c r="AD647" s="174"/>
    </row>
    <row r="648" spans="1:30" ht="15.75" customHeight="1" x14ac:dyDescent="0.2">
      <c r="A648" s="174"/>
      <c r="B648" s="174"/>
      <c r="C648" s="229"/>
      <c r="D648" s="229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  <c r="AA648" s="174"/>
      <c r="AB648" s="174"/>
      <c r="AC648" s="174"/>
      <c r="AD648" s="174"/>
    </row>
    <row r="649" spans="1:30" ht="15.75" customHeight="1" x14ac:dyDescent="0.2">
      <c r="A649" s="174"/>
      <c r="B649" s="174"/>
      <c r="C649" s="229"/>
      <c r="D649" s="229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  <c r="AA649" s="174"/>
      <c r="AB649" s="174"/>
      <c r="AC649" s="174"/>
      <c r="AD649" s="174"/>
    </row>
    <row r="650" spans="1:30" ht="15.75" customHeight="1" x14ac:dyDescent="0.2">
      <c r="A650" s="174"/>
      <c r="B650" s="174"/>
      <c r="C650" s="229"/>
      <c r="D650" s="229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  <c r="AC650" s="174"/>
      <c r="AD650" s="174"/>
    </row>
    <row r="651" spans="1:30" ht="15.75" customHeight="1" x14ac:dyDescent="0.2">
      <c r="A651" s="174"/>
      <c r="B651" s="174"/>
      <c r="C651" s="229"/>
      <c r="D651" s="229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  <c r="AC651" s="174"/>
      <c r="AD651" s="174"/>
    </row>
    <row r="652" spans="1:30" ht="15.75" customHeight="1" x14ac:dyDescent="0.2">
      <c r="A652" s="174"/>
      <c r="B652" s="174"/>
      <c r="C652" s="229"/>
      <c r="D652" s="229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  <c r="AC652" s="174"/>
      <c r="AD652" s="174"/>
    </row>
    <row r="653" spans="1:30" ht="15.75" customHeight="1" x14ac:dyDescent="0.2">
      <c r="A653" s="174"/>
      <c r="B653" s="174"/>
      <c r="C653" s="229"/>
      <c r="D653" s="229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  <c r="AC653" s="174"/>
      <c r="AD653" s="174"/>
    </row>
    <row r="654" spans="1:30" ht="15.75" customHeight="1" x14ac:dyDescent="0.2">
      <c r="A654" s="174"/>
      <c r="B654" s="174"/>
      <c r="C654" s="229"/>
      <c r="D654" s="229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  <c r="AC654" s="174"/>
      <c r="AD654" s="174"/>
    </row>
    <row r="655" spans="1:30" ht="15.75" customHeight="1" x14ac:dyDescent="0.2">
      <c r="A655" s="174"/>
      <c r="B655" s="174"/>
      <c r="C655" s="229"/>
      <c r="D655" s="229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</row>
    <row r="656" spans="1:30" ht="15.75" customHeight="1" x14ac:dyDescent="0.2">
      <c r="A656" s="174"/>
      <c r="B656" s="174"/>
      <c r="C656" s="229"/>
      <c r="D656" s="229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</row>
    <row r="657" spans="1:30" ht="15.75" customHeight="1" x14ac:dyDescent="0.2">
      <c r="A657" s="174"/>
      <c r="B657" s="174"/>
      <c r="C657" s="229"/>
      <c r="D657" s="229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  <c r="AA657" s="174"/>
      <c r="AB657" s="174"/>
      <c r="AC657" s="174"/>
      <c r="AD657" s="174"/>
    </row>
    <row r="658" spans="1:30" ht="15.75" customHeight="1" x14ac:dyDescent="0.2">
      <c r="A658" s="174"/>
      <c r="B658" s="174"/>
      <c r="C658" s="229"/>
      <c r="D658" s="229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  <c r="AA658" s="174"/>
      <c r="AB658" s="174"/>
      <c r="AC658" s="174"/>
      <c r="AD658" s="174"/>
    </row>
    <row r="659" spans="1:30" ht="15.75" customHeight="1" x14ac:dyDescent="0.2">
      <c r="A659" s="174"/>
      <c r="B659" s="174"/>
      <c r="C659" s="229"/>
      <c r="D659" s="229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  <c r="AA659" s="174"/>
      <c r="AB659" s="174"/>
      <c r="AC659" s="174"/>
      <c r="AD659" s="174"/>
    </row>
    <row r="660" spans="1:30" ht="15.75" customHeight="1" x14ac:dyDescent="0.2">
      <c r="A660" s="174"/>
      <c r="B660" s="174"/>
      <c r="C660" s="229"/>
      <c r="D660" s="229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174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  <c r="AA660" s="174"/>
      <c r="AB660" s="174"/>
      <c r="AC660" s="174"/>
      <c r="AD660" s="174"/>
    </row>
    <row r="661" spans="1:30" ht="15.75" customHeight="1" x14ac:dyDescent="0.2">
      <c r="A661" s="174"/>
      <c r="B661" s="174"/>
      <c r="C661" s="229"/>
      <c r="D661" s="229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  <c r="AA661" s="174"/>
      <c r="AB661" s="174"/>
      <c r="AC661" s="174"/>
      <c r="AD661" s="174"/>
    </row>
    <row r="662" spans="1:30" ht="15.75" customHeight="1" x14ac:dyDescent="0.2">
      <c r="A662" s="174"/>
      <c r="B662" s="174"/>
      <c r="C662" s="229"/>
      <c r="D662" s="229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174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  <c r="AA662" s="174"/>
      <c r="AB662" s="174"/>
      <c r="AC662" s="174"/>
      <c r="AD662" s="174"/>
    </row>
    <row r="663" spans="1:30" ht="15.75" customHeight="1" x14ac:dyDescent="0.2">
      <c r="A663" s="174"/>
      <c r="B663" s="174"/>
      <c r="C663" s="229"/>
      <c r="D663" s="229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  <c r="AA663" s="174"/>
      <c r="AB663" s="174"/>
      <c r="AC663" s="174"/>
      <c r="AD663" s="174"/>
    </row>
    <row r="664" spans="1:30" ht="15.75" customHeight="1" x14ac:dyDescent="0.2">
      <c r="A664" s="174"/>
      <c r="B664" s="174"/>
      <c r="C664" s="229"/>
      <c r="D664" s="229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  <c r="AA664" s="174"/>
      <c r="AB664" s="174"/>
      <c r="AC664" s="174"/>
      <c r="AD664" s="174"/>
    </row>
    <row r="665" spans="1:30" ht="15.75" customHeight="1" x14ac:dyDescent="0.2">
      <c r="A665" s="174"/>
      <c r="B665" s="174"/>
      <c r="C665" s="229"/>
      <c r="D665" s="229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  <c r="AA665" s="174"/>
      <c r="AB665" s="174"/>
      <c r="AC665" s="174"/>
      <c r="AD665" s="174"/>
    </row>
    <row r="666" spans="1:30" ht="15.75" customHeight="1" x14ac:dyDescent="0.2">
      <c r="A666" s="174"/>
      <c r="B666" s="174"/>
      <c r="C666" s="229"/>
      <c r="D666" s="229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  <c r="AA666" s="174"/>
      <c r="AB666" s="174"/>
      <c r="AC666" s="174"/>
      <c r="AD666" s="174"/>
    </row>
    <row r="667" spans="1:30" ht="15.75" customHeight="1" x14ac:dyDescent="0.2">
      <c r="A667" s="174"/>
      <c r="B667" s="174"/>
      <c r="C667" s="229"/>
      <c r="D667" s="229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  <c r="AA667" s="174"/>
      <c r="AB667" s="174"/>
      <c r="AC667" s="174"/>
      <c r="AD667" s="174"/>
    </row>
    <row r="668" spans="1:30" ht="15.75" customHeight="1" x14ac:dyDescent="0.2">
      <c r="A668" s="174"/>
      <c r="B668" s="174"/>
      <c r="C668" s="229"/>
      <c r="D668" s="229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  <c r="AA668" s="174"/>
      <c r="AB668" s="174"/>
      <c r="AC668" s="174"/>
      <c r="AD668" s="174"/>
    </row>
    <row r="669" spans="1:30" ht="15.75" customHeight="1" x14ac:dyDescent="0.2">
      <c r="A669" s="174"/>
      <c r="B669" s="174"/>
      <c r="C669" s="229"/>
      <c r="D669" s="229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174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  <c r="AA669" s="174"/>
      <c r="AB669" s="174"/>
      <c r="AC669" s="174"/>
      <c r="AD669" s="174"/>
    </row>
    <row r="670" spans="1:30" ht="15.75" customHeight="1" x14ac:dyDescent="0.2">
      <c r="A670" s="174"/>
      <c r="B670" s="174"/>
      <c r="C670" s="229"/>
      <c r="D670" s="229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174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  <c r="AA670" s="174"/>
      <c r="AB670" s="174"/>
      <c r="AC670" s="174"/>
      <c r="AD670" s="174"/>
    </row>
    <row r="671" spans="1:30" ht="15.75" customHeight="1" x14ac:dyDescent="0.2">
      <c r="A671" s="174"/>
      <c r="B671" s="174"/>
      <c r="C671" s="229"/>
      <c r="D671" s="229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174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  <c r="AA671" s="174"/>
      <c r="AB671" s="174"/>
      <c r="AC671" s="174"/>
      <c r="AD671" s="174"/>
    </row>
    <row r="672" spans="1:30" ht="15.75" customHeight="1" x14ac:dyDescent="0.2">
      <c r="A672" s="174"/>
      <c r="B672" s="174"/>
      <c r="C672" s="229"/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174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  <c r="AA672" s="174"/>
      <c r="AB672" s="174"/>
      <c r="AC672" s="174"/>
      <c r="AD672" s="174"/>
    </row>
    <row r="673" spans="1:30" ht="15.75" customHeight="1" x14ac:dyDescent="0.2">
      <c r="A673" s="174"/>
      <c r="B673" s="174"/>
      <c r="C673" s="229"/>
      <c r="D673" s="229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  <c r="AA673" s="174"/>
      <c r="AB673" s="174"/>
      <c r="AC673" s="174"/>
      <c r="AD673" s="174"/>
    </row>
    <row r="674" spans="1:30" ht="15.75" customHeight="1" x14ac:dyDescent="0.2">
      <c r="A674" s="174"/>
      <c r="B674" s="174"/>
      <c r="C674" s="229"/>
      <c r="D674" s="229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  <c r="AA674" s="174"/>
      <c r="AB674" s="174"/>
      <c r="AC674" s="174"/>
      <c r="AD674" s="174"/>
    </row>
    <row r="675" spans="1:30" ht="15.75" customHeight="1" x14ac:dyDescent="0.2">
      <c r="A675" s="174"/>
      <c r="B675" s="174"/>
      <c r="C675" s="229"/>
      <c r="D675" s="229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  <c r="AC675" s="174"/>
      <c r="AD675" s="174"/>
    </row>
    <row r="676" spans="1:30" ht="15.75" customHeight="1" x14ac:dyDescent="0.2">
      <c r="A676" s="174"/>
      <c r="B676" s="174"/>
      <c r="C676" s="229"/>
      <c r="D676" s="229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  <c r="AA676" s="174"/>
      <c r="AB676" s="174"/>
      <c r="AC676" s="174"/>
      <c r="AD676" s="174"/>
    </row>
    <row r="677" spans="1:30" ht="15.75" customHeight="1" x14ac:dyDescent="0.2">
      <c r="A677" s="174"/>
      <c r="B677" s="174"/>
      <c r="C677" s="229"/>
      <c r="D677" s="229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  <c r="AA677" s="174"/>
      <c r="AB677" s="174"/>
      <c r="AC677" s="174"/>
      <c r="AD677" s="174"/>
    </row>
    <row r="678" spans="1:30" ht="15.75" customHeight="1" x14ac:dyDescent="0.2">
      <c r="A678" s="174"/>
      <c r="B678" s="174"/>
      <c r="C678" s="229"/>
      <c r="D678" s="229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  <c r="AA678" s="174"/>
      <c r="AB678" s="174"/>
      <c r="AC678" s="174"/>
      <c r="AD678" s="174"/>
    </row>
    <row r="679" spans="1:30" ht="15.75" customHeight="1" x14ac:dyDescent="0.2">
      <c r="A679" s="174"/>
      <c r="B679" s="174"/>
      <c r="C679" s="229"/>
      <c r="D679" s="229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  <c r="AA679" s="174"/>
      <c r="AB679" s="174"/>
      <c r="AC679" s="174"/>
      <c r="AD679" s="174"/>
    </row>
    <row r="680" spans="1:30" ht="15.75" customHeight="1" x14ac:dyDescent="0.2">
      <c r="A680" s="174"/>
      <c r="B680" s="174"/>
      <c r="C680" s="229"/>
      <c r="D680" s="229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  <c r="AA680" s="174"/>
      <c r="AB680" s="174"/>
      <c r="AC680" s="174"/>
      <c r="AD680" s="174"/>
    </row>
    <row r="681" spans="1:30" ht="15.75" customHeight="1" x14ac:dyDescent="0.2">
      <c r="A681" s="174"/>
      <c r="B681" s="174"/>
      <c r="C681" s="229"/>
      <c r="D681" s="229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  <c r="AA681" s="174"/>
      <c r="AB681" s="174"/>
      <c r="AC681" s="174"/>
      <c r="AD681" s="174"/>
    </row>
    <row r="682" spans="1:30" ht="15.75" customHeight="1" x14ac:dyDescent="0.2">
      <c r="A682" s="174"/>
      <c r="B682" s="174"/>
      <c r="C682" s="229"/>
      <c r="D682" s="229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174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  <c r="AA682" s="174"/>
      <c r="AB682" s="174"/>
      <c r="AC682" s="174"/>
      <c r="AD682" s="174"/>
    </row>
    <row r="683" spans="1:30" ht="15.75" customHeight="1" x14ac:dyDescent="0.2">
      <c r="A683" s="174"/>
      <c r="B683" s="174"/>
      <c r="C683" s="229"/>
      <c r="D683" s="229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174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  <c r="AA683" s="174"/>
      <c r="AB683" s="174"/>
      <c r="AC683" s="174"/>
      <c r="AD683" s="174"/>
    </row>
    <row r="684" spans="1:30" ht="15.75" customHeight="1" x14ac:dyDescent="0.2">
      <c r="A684" s="174"/>
      <c r="B684" s="174"/>
      <c r="C684" s="229"/>
      <c r="D684" s="229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  <c r="AA684" s="174"/>
      <c r="AB684" s="174"/>
      <c r="AC684" s="174"/>
      <c r="AD684" s="174"/>
    </row>
    <row r="685" spans="1:30" ht="15.75" customHeight="1" x14ac:dyDescent="0.2">
      <c r="A685" s="174"/>
      <c r="B685" s="174"/>
      <c r="C685" s="229"/>
      <c r="D685" s="229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174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  <c r="AA685" s="174"/>
      <c r="AB685" s="174"/>
      <c r="AC685" s="174"/>
      <c r="AD685" s="174"/>
    </row>
    <row r="686" spans="1:30" ht="15.75" customHeight="1" x14ac:dyDescent="0.2">
      <c r="A686" s="174"/>
      <c r="B686" s="174"/>
      <c r="C686" s="229"/>
      <c r="D686" s="229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174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  <c r="AA686" s="174"/>
      <c r="AB686" s="174"/>
      <c r="AC686" s="174"/>
      <c r="AD686" s="174"/>
    </row>
    <row r="687" spans="1:30" ht="15.75" customHeight="1" x14ac:dyDescent="0.2">
      <c r="A687" s="174"/>
      <c r="B687" s="174"/>
      <c r="C687" s="229"/>
      <c r="D687" s="229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174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  <c r="AA687" s="174"/>
      <c r="AB687" s="174"/>
      <c r="AC687" s="174"/>
      <c r="AD687" s="174"/>
    </row>
    <row r="688" spans="1:30" ht="15.75" customHeight="1" x14ac:dyDescent="0.2">
      <c r="A688" s="174"/>
      <c r="B688" s="174"/>
      <c r="C688" s="229"/>
      <c r="D688" s="229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174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  <c r="AA688" s="174"/>
      <c r="AB688" s="174"/>
      <c r="AC688" s="174"/>
      <c r="AD688" s="174"/>
    </row>
    <row r="689" spans="1:30" ht="15.75" customHeight="1" x14ac:dyDescent="0.2">
      <c r="A689" s="174"/>
      <c r="B689" s="174"/>
      <c r="C689" s="229"/>
      <c r="D689" s="229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174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  <c r="AA689" s="174"/>
      <c r="AB689" s="174"/>
      <c r="AC689" s="174"/>
      <c r="AD689" s="174"/>
    </row>
    <row r="690" spans="1:30" ht="15.75" customHeight="1" x14ac:dyDescent="0.2">
      <c r="A690" s="174"/>
      <c r="B690" s="174"/>
      <c r="C690" s="229"/>
      <c r="D690" s="229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174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  <c r="AA690" s="174"/>
      <c r="AB690" s="174"/>
      <c r="AC690" s="174"/>
      <c r="AD690" s="174"/>
    </row>
    <row r="691" spans="1:30" ht="15.75" customHeight="1" x14ac:dyDescent="0.2">
      <c r="A691" s="174"/>
      <c r="B691" s="174"/>
      <c r="C691" s="229"/>
      <c r="D691" s="229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174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  <c r="AA691" s="174"/>
      <c r="AB691" s="174"/>
      <c r="AC691" s="174"/>
      <c r="AD691" s="174"/>
    </row>
    <row r="692" spans="1:30" ht="15.75" customHeight="1" x14ac:dyDescent="0.2">
      <c r="A692" s="174"/>
      <c r="B692" s="174"/>
      <c r="C692" s="229"/>
      <c r="D692" s="229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174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  <c r="AA692" s="174"/>
      <c r="AB692" s="174"/>
      <c r="AC692" s="174"/>
      <c r="AD692" s="174"/>
    </row>
    <row r="693" spans="1:30" ht="15.75" customHeight="1" x14ac:dyDescent="0.2">
      <c r="A693" s="174"/>
      <c r="B693" s="174"/>
      <c r="C693" s="229"/>
      <c r="D693" s="229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  <c r="AA693" s="174"/>
      <c r="AB693" s="174"/>
      <c r="AC693" s="174"/>
      <c r="AD693" s="174"/>
    </row>
    <row r="694" spans="1:30" ht="15.75" customHeight="1" x14ac:dyDescent="0.2">
      <c r="A694" s="174"/>
      <c r="B694" s="174"/>
      <c r="C694" s="229"/>
      <c r="D694" s="229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  <c r="AA694" s="174"/>
      <c r="AB694" s="174"/>
      <c r="AC694" s="174"/>
      <c r="AD694" s="174"/>
    </row>
    <row r="695" spans="1:30" ht="15.75" customHeight="1" x14ac:dyDescent="0.2">
      <c r="A695" s="174"/>
      <c r="B695" s="174"/>
      <c r="C695" s="229"/>
      <c r="D695" s="229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  <c r="AA695" s="174"/>
      <c r="AB695" s="174"/>
      <c r="AC695" s="174"/>
      <c r="AD695" s="174"/>
    </row>
    <row r="696" spans="1:30" ht="15.75" customHeight="1" x14ac:dyDescent="0.2">
      <c r="A696" s="174"/>
      <c r="B696" s="174"/>
      <c r="C696" s="229"/>
      <c r="D696" s="229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  <c r="AA696" s="174"/>
      <c r="AB696" s="174"/>
      <c r="AC696" s="174"/>
      <c r="AD696" s="174"/>
    </row>
    <row r="697" spans="1:30" ht="15.75" customHeight="1" x14ac:dyDescent="0.2">
      <c r="A697" s="174"/>
      <c r="B697" s="174"/>
      <c r="C697" s="229"/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</row>
    <row r="698" spans="1:30" ht="15.75" customHeight="1" x14ac:dyDescent="0.2">
      <c r="A698" s="174"/>
      <c r="B698" s="174"/>
      <c r="C698" s="229"/>
      <c r="D698" s="229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  <c r="AC698" s="174"/>
      <c r="AD698" s="174"/>
    </row>
    <row r="699" spans="1:30" ht="15.75" customHeight="1" x14ac:dyDescent="0.2">
      <c r="A699" s="174"/>
      <c r="B699" s="174"/>
      <c r="C699" s="229"/>
      <c r="D699" s="229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  <c r="AC699" s="174"/>
      <c r="AD699" s="174"/>
    </row>
    <row r="700" spans="1:30" ht="15.75" customHeight="1" x14ac:dyDescent="0.2">
      <c r="A700" s="174"/>
      <c r="B700" s="174"/>
      <c r="C700" s="229"/>
      <c r="D700" s="229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</row>
    <row r="701" spans="1:30" ht="15.75" customHeight="1" x14ac:dyDescent="0.2">
      <c r="A701" s="174"/>
      <c r="B701" s="174"/>
      <c r="C701" s="229"/>
      <c r="D701" s="229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174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  <c r="AC701" s="174"/>
      <c r="AD701" s="174"/>
    </row>
    <row r="702" spans="1:30" ht="15.75" customHeight="1" x14ac:dyDescent="0.2">
      <c r="A702" s="174"/>
      <c r="B702" s="174"/>
      <c r="C702" s="229"/>
      <c r="D702" s="229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</row>
    <row r="703" spans="1:30" ht="15.75" customHeight="1" x14ac:dyDescent="0.2">
      <c r="A703" s="174"/>
      <c r="B703" s="174"/>
      <c r="C703" s="229"/>
      <c r="D703" s="229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</row>
    <row r="704" spans="1:30" ht="15.75" customHeight="1" x14ac:dyDescent="0.2">
      <c r="A704" s="174"/>
      <c r="B704" s="174"/>
      <c r="C704" s="229"/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  <c r="AC704" s="174"/>
      <c r="AD704" s="174"/>
    </row>
    <row r="705" spans="1:30" ht="15.75" customHeight="1" x14ac:dyDescent="0.2">
      <c r="A705" s="174"/>
      <c r="B705" s="174"/>
      <c r="C705" s="229"/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  <c r="AC705" s="174"/>
      <c r="AD705" s="174"/>
    </row>
    <row r="706" spans="1:30" ht="15.75" customHeight="1" x14ac:dyDescent="0.2">
      <c r="A706" s="174"/>
      <c r="B706" s="174"/>
      <c r="C706" s="229"/>
      <c r="D706" s="229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  <c r="AA706" s="174"/>
      <c r="AB706" s="174"/>
      <c r="AC706" s="174"/>
      <c r="AD706" s="174"/>
    </row>
    <row r="707" spans="1:30" ht="15.75" customHeight="1" x14ac:dyDescent="0.2">
      <c r="A707" s="174"/>
      <c r="B707" s="174"/>
      <c r="C707" s="229"/>
      <c r="D707" s="229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  <c r="AA707" s="174"/>
      <c r="AB707" s="174"/>
      <c r="AC707" s="174"/>
      <c r="AD707" s="174"/>
    </row>
    <row r="708" spans="1:30" ht="15.75" customHeight="1" x14ac:dyDescent="0.2">
      <c r="A708" s="174"/>
      <c r="B708" s="174"/>
      <c r="C708" s="229"/>
      <c r="D708" s="229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  <c r="AA708" s="174"/>
      <c r="AB708" s="174"/>
      <c r="AC708" s="174"/>
      <c r="AD708" s="174"/>
    </row>
    <row r="709" spans="1:30" ht="15.75" customHeight="1" x14ac:dyDescent="0.2">
      <c r="A709" s="174"/>
      <c r="B709" s="174"/>
      <c r="C709" s="229"/>
      <c r="D709" s="229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  <c r="AA709" s="174"/>
      <c r="AB709" s="174"/>
      <c r="AC709" s="174"/>
      <c r="AD709" s="174"/>
    </row>
    <row r="710" spans="1:30" ht="15.75" customHeight="1" x14ac:dyDescent="0.2">
      <c r="A710" s="174"/>
      <c r="B710" s="174"/>
      <c r="C710" s="229"/>
      <c r="D710" s="229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  <c r="AC710" s="174"/>
      <c r="AD710" s="174"/>
    </row>
    <row r="711" spans="1:30" ht="15.75" customHeight="1" x14ac:dyDescent="0.2">
      <c r="A711" s="174"/>
      <c r="B711" s="174"/>
      <c r="C711" s="229"/>
      <c r="D711" s="229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  <c r="AC711" s="174"/>
      <c r="AD711" s="174"/>
    </row>
    <row r="712" spans="1:30" ht="15.75" customHeight="1" x14ac:dyDescent="0.2">
      <c r="A712" s="174"/>
      <c r="B712" s="174"/>
      <c r="C712" s="229"/>
      <c r="D712" s="229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  <c r="AC712" s="174"/>
      <c r="AD712" s="174"/>
    </row>
    <row r="713" spans="1:30" ht="15.75" customHeight="1" x14ac:dyDescent="0.2">
      <c r="A713" s="174"/>
      <c r="B713" s="174"/>
      <c r="C713" s="229"/>
      <c r="D713" s="229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</row>
    <row r="714" spans="1:30" ht="15.75" customHeight="1" x14ac:dyDescent="0.2">
      <c r="A714" s="174"/>
      <c r="B714" s="174"/>
      <c r="C714" s="229"/>
      <c r="D714" s="229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  <c r="AC714" s="174"/>
      <c r="AD714" s="174"/>
    </row>
    <row r="715" spans="1:30" ht="15.75" customHeight="1" x14ac:dyDescent="0.2">
      <c r="A715" s="174"/>
      <c r="B715" s="174"/>
      <c r="C715" s="229"/>
      <c r="D715" s="229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  <c r="AC715" s="174"/>
      <c r="AD715" s="174"/>
    </row>
    <row r="716" spans="1:30" ht="15.75" customHeight="1" x14ac:dyDescent="0.2">
      <c r="A716" s="174"/>
      <c r="B716" s="174"/>
      <c r="C716" s="229"/>
      <c r="D716" s="229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  <c r="AC716" s="174"/>
      <c r="AD716" s="174"/>
    </row>
    <row r="717" spans="1:30" ht="15.75" customHeight="1" x14ac:dyDescent="0.2">
      <c r="A717" s="174"/>
      <c r="B717" s="174"/>
      <c r="C717" s="229"/>
      <c r="D717" s="229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  <c r="AC717" s="174"/>
      <c r="AD717" s="174"/>
    </row>
    <row r="718" spans="1:30" ht="15.75" customHeight="1" x14ac:dyDescent="0.2">
      <c r="A718" s="174"/>
      <c r="B718" s="174"/>
      <c r="C718" s="229"/>
      <c r="D718" s="229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  <c r="AC718" s="174"/>
      <c r="AD718" s="174"/>
    </row>
    <row r="719" spans="1:30" ht="15.75" customHeight="1" x14ac:dyDescent="0.2">
      <c r="A719" s="174"/>
      <c r="B719" s="174"/>
      <c r="C719" s="229"/>
      <c r="D719" s="229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  <c r="AC719" s="174"/>
      <c r="AD719" s="174"/>
    </row>
    <row r="720" spans="1:30" ht="15.75" customHeight="1" x14ac:dyDescent="0.2">
      <c r="A720" s="174"/>
      <c r="B720" s="174"/>
      <c r="C720" s="229"/>
      <c r="D720" s="229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  <c r="AC720" s="174"/>
      <c r="AD720" s="174"/>
    </row>
    <row r="721" spans="1:30" ht="15.75" customHeight="1" x14ac:dyDescent="0.2">
      <c r="A721" s="174"/>
      <c r="B721" s="174"/>
      <c r="C721" s="229"/>
      <c r="D721" s="229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  <c r="AC721" s="174"/>
      <c r="AD721" s="174"/>
    </row>
    <row r="722" spans="1:30" ht="15.75" customHeight="1" x14ac:dyDescent="0.2">
      <c r="A722" s="174"/>
      <c r="B722" s="174"/>
      <c r="C722" s="229"/>
      <c r="D722" s="229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  <c r="AC722" s="174"/>
      <c r="AD722" s="174"/>
    </row>
    <row r="723" spans="1:30" ht="15.75" customHeight="1" x14ac:dyDescent="0.2">
      <c r="A723" s="174"/>
      <c r="B723" s="174"/>
      <c r="C723" s="229"/>
      <c r="D723" s="229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  <c r="AC723" s="174"/>
      <c r="AD723" s="174"/>
    </row>
    <row r="724" spans="1:30" ht="15.75" customHeight="1" x14ac:dyDescent="0.2">
      <c r="A724" s="174"/>
      <c r="B724" s="174"/>
      <c r="C724" s="229"/>
      <c r="D724" s="229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  <c r="AC724" s="174"/>
      <c r="AD724" s="174"/>
    </row>
    <row r="725" spans="1:30" ht="15.75" customHeight="1" x14ac:dyDescent="0.2">
      <c r="A725" s="174"/>
      <c r="B725" s="174"/>
      <c r="C725" s="229"/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  <c r="AC725" s="174"/>
      <c r="AD725" s="174"/>
    </row>
    <row r="726" spans="1:30" ht="15.75" customHeight="1" x14ac:dyDescent="0.2">
      <c r="A726" s="174"/>
      <c r="B726" s="174"/>
      <c r="C726" s="229"/>
      <c r="D726" s="229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  <c r="AC726" s="174"/>
      <c r="AD726" s="174"/>
    </row>
    <row r="727" spans="1:30" ht="15.75" customHeight="1" x14ac:dyDescent="0.2">
      <c r="A727" s="174"/>
      <c r="B727" s="174"/>
      <c r="C727" s="229"/>
      <c r="D727" s="229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  <c r="AC727" s="174"/>
      <c r="AD727" s="174"/>
    </row>
    <row r="728" spans="1:30" ht="15.75" customHeight="1" x14ac:dyDescent="0.2">
      <c r="A728" s="174"/>
      <c r="B728" s="174"/>
      <c r="C728" s="229"/>
      <c r="D728" s="229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  <c r="AC728" s="174"/>
      <c r="AD728" s="174"/>
    </row>
    <row r="729" spans="1:30" ht="15.75" customHeight="1" x14ac:dyDescent="0.2">
      <c r="A729" s="174"/>
      <c r="B729" s="174"/>
      <c r="C729" s="229"/>
      <c r="D729" s="229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</row>
    <row r="730" spans="1:30" ht="15.75" customHeight="1" x14ac:dyDescent="0.2">
      <c r="A730" s="174"/>
      <c r="B730" s="174"/>
      <c r="C730" s="229"/>
      <c r="D730" s="229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  <c r="AC730" s="174"/>
      <c r="AD730" s="174"/>
    </row>
    <row r="731" spans="1:30" ht="15.75" customHeight="1" x14ac:dyDescent="0.2">
      <c r="A731" s="174"/>
      <c r="B731" s="174"/>
      <c r="C731" s="229"/>
      <c r="D731" s="229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  <c r="AC731" s="174"/>
      <c r="AD731" s="174"/>
    </row>
    <row r="732" spans="1:30" ht="15.75" customHeight="1" x14ac:dyDescent="0.2">
      <c r="A732" s="174"/>
      <c r="B732" s="174"/>
      <c r="C732" s="229"/>
      <c r="D732" s="229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</row>
    <row r="733" spans="1:30" ht="15.75" customHeight="1" x14ac:dyDescent="0.2">
      <c r="A733" s="174"/>
      <c r="B733" s="174"/>
      <c r="C733" s="229"/>
      <c r="D733" s="229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</row>
    <row r="734" spans="1:30" ht="15.75" customHeight="1" x14ac:dyDescent="0.2">
      <c r="A734" s="174"/>
      <c r="B734" s="174"/>
      <c r="C734" s="229"/>
      <c r="D734" s="229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</row>
    <row r="735" spans="1:30" ht="15.75" customHeight="1" x14ac:dyDescent="0.2">
      <c r="A735" s="174"/>
      <c r="B735" s="174"/>
      <c r="C735" s="229"/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</row>
    <row r="736" spans="1:30" ht="15.75" customHeight="1" x14ac:dyDescent="0.2">
      <c r="A736" s="174"/>
      <c r="B736" s="174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</row>
    <row r="737" spans="1:30" ht="15.75" customHeight="1" x14ac:dyDescent="0.2">
      <c r="A737" s="174"/>
      <c r="B737" s="174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</row>
    <row r="738" spans="1:30" ht="15.75" customHeight="1" x14ac:dyDescent="0.2">
      <c r="A738" s="174"/>
      <c r="B738" s="174"/>
      <c r="C738" s="229"/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</row>
    <row r="739" spans="1:30" ht="15.75" customHeight="1" x14ac:dyDescent="0.2">
      <c r="A739" s="174"/>
      <c r="B739" s="174"/>
      <c r="C739" s="229"/>
      <c r="D739" s="229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</row>
    <row r="740" spans="1:30" ht="15.75" customHeight="1" x14ac:dyDescent="0.2">
      <c r="A740" s="174"/>
      <c r="B740" s="174"/>
      <c r="C740" s="229"/>
      <c r="D740" s="229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</row>
    <row r="741" spans="1:30" ht="15.75" customHeight="1" x14ac:dyDescent="0.2">
      <c r="A741" s="174"/>
      <c r="B741" s="174"/>
      <c r="C741" s="229"/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</row>
    <row r="742" spans="1:30" ht="15.75" customHeight="1" x14ac:dyDescent="0.2">
      <c r="A742" s="174"/>
      <c r="B742" s="174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</row>
    <row r="743" spans="1:30" ht="15.75" customHeight="1" x14ac:dyDescent="0.2">
      <c r="A743" s="174"/>
      <c r="B743" s="174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</row>
    <row r="744" spans="1:30" ht="15.75" customHeight="1" x14ac:dyDescent="0.2">
      <c r="A744" s="174"/>
      <c r="B744" s="174"/>
      <c r="C744" s="229"/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</row>
    <row r="745" spans="1:30" ht="15.75" customHeight="1" x14ac:dyDescent="0.2">
      <c r="A745" s="174"/>
      <c r="B745" s="174"/>
      <c r="C745" s="229"/>
      <c r="D745" s="229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</row>
    <row r="746" spans="1:30" ht="15.75" customHeight="1" x14ac:dyDescent="0.2">
      <c r="A746" s="174"/>
      <c r="B746" s="174"/>
      <c r="C746" s="229"/>
      <c r="D746" s="229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</row>
    <row r="747" spans="1:30" ht="15.75" customHeight="1" x14ac:dyDescent="0.2">
      <c r="A747" s="174"/>
      <c r="B747" s="174"/>
      <c r="C747" s="229"/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</row>
    <row r="748" spans="1:30" ht="15.75" customHeight="1" x14ac:dyDescent="0.2">
      <c r="A748" s="174"/>
      <c r="B748" s="174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</row>
    <row r="749" spans="1:30" ht="15.75" customHeight="1" x14ac:dyDescent="0.2">
      <c r="A749" s="174"/>
      <c r="B749" s="174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</row>
    <row r="750" spans="1:30" ht="15.75" customHeight="1" x14ac:dyDescent="0.2">
      <c r="A750" s="174"/>
      <c r="B750" s="174"/>
      <c r="C750" s="229"/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  <c r="AC750" s="174"/>
      <c r="AD750" s="174"/>
    </row>
    <row r="751" spans="1:30" ht="15.75" customHeight="1" x14ac:dyDescent="0.2">
      <c r="A751" s="174"/>
      <c r="B751" s="174"/>
      <c r="C751" s="229"/>
      <c r="D751" s="229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  <c r="AC751" s="174"/>
      <c r="AD751" s="174"/>
    </row>
    <row r="752" spans="1:30" ht="15.75" customHeight="1" x14ac:dyDescent="0.2">
      <c r="A752" s="174"/>
      <c r="B752" s="174"/>
      <c r="C752" s="229"/>
      <c r="D752" s="229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  <c r="AC752" s="174"/>
      <c r="AD752" s="174"/>
    </row>
    <row r="753" spans="1:30" ht="15.75" customHeight="1" x14ac:dyDescent="0.2">
      <c r="A753" s="174"/>
      <c r="B753" s="174"/>
      <c r="C753" s="229"/>
      <c r="D753" s="229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  <c r="AC753" s="174"/>
      <c r="AD753" s="174"/>
    </row>
    <row r="754" spans="1:30" ht="15.75" customHeight="1" x14ac:dyDescent="0.2">
      <c r="A754" s="174"/>
      <c r="B754" s="174"/>
      <c r="C754" s="229"/>
      <c r="D754" s="229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  <c r="AC754" s="174"/>
      <c r="AD754" s="174"/>
    </row>
    <row r="755" spans="1:30" ht="15.75" customHeight="1" x14ac:dyDescent="0.2">
      <c r="A755" s="174"/>
      <c r="B755" s="174"/>
      <c r="C755" s="229"/>
      <c r="D755" s="229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  <c r="AC755" s="174"/>
      <c r="AD755" s="174"/>
    </row>
    <row r="756" spans="1:30" ht="15.75" customHeight="1" x14ac:dyDescent="0.2">
      <c r="A756" s="174"/>
      <c r="B756" s="174"/>
      <c r="C756" s="229"/>
      <c r="D756" s="229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  <c r="AC756" s="174"/>
      <c r="AD756" s="174"/>
    </row>
    <row r="757" spans="1:30" ht="15.75" customHeight="1" x14ac:dyDescent="0.2">
      <c r="A757" s="174"/>
      <c r="B757" s="174"/>
      <c r="C757" s="229"/>
      <c r="D757" s="229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  <c r="AC757" s="174"/>
      <c r="AD757" s="174"/>
    </row>
    <row r="758" spans="1:30" ht="15.75" customHeight="1" x14ac:dyDescent="0.2">
      <c r="A758" s="174"/>
      <c r="B758" s="174"/>
      <c r="C758" s="229"/>
      <c r="D758" s="229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  <c r="AC758" s="174"/>
      <c r="AD758" s="174"/>
    </row>
    <row r="759" spans="1:30" ht="15.75" customHeight="1" x14ac:dyDescent="0.2">
      <c r="A759" s="174"/>
      <c r="B759" s="174"/>
      <c r="C759" s="229"/>
      <c r="D759" s="229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</row>
    <row r="760" spans="1:30" ht="15.75" customHeight="1" x14ac:dyDescent="0.2">
      <c r="A760" s="174"/>
      <c r="B760" s="174"/>
      <c r="C760" s="229"/>
      <c r="D760" s="229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  <c r="AC760" s="174"/>
      <c r="AD760" s="174"/>
    </row>
    <row r="761" spans="1:30" ht="15.75" customHeight="1" x14ac:dyDescent="0.2">
      <c r="A761" s="174"/>
      <c r="B761" s="174"/>
      <c r="C761" s="229"/>
      <c r="D761" s="229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  <c r="AC761" s="174"/>
      <c r="AD761" s="174"/>
    </row>
    <row r="762" spans="1:30" ht="15.75" customHeight="1" x14ac:dyDescent="0.2">
      <c r="A762" s="174"/>
      <c r="B762" s="174"/>
      <c r="C762" s="229"/>
      <c r="D762" s="229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  <c r="AC762" s="174"/>
      <c r="AD762" s="174"/>
    </row>
    <row r="763" spans="1:30" ht="15.75" customHeight="1" x14ac:dyDescent="0.2">
      <c r="A763" s="174"/>
      <c r="B763" s="174"/>
      <c r="C763" s="229"/>
      <c r="D763" s="229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</row>
    <row r="764" spans="1:30" ht="15.75" customHeight="1" x14ac:dyDescent="0.2">
      <c r="A764" s="174"/>
      <c r="B764" s="174"/>
      <c r="C764" s="229"/>
      <c r="D764" s="229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</row>
    <row r="765" spans="1:30" ht="15.75" customHeight="1" x14ac:dyDescent="0.2">
      <c r="A765" s="174"/>
      <c r="B765" s="174"/>
      <c r="C765" s="229"/>
      <c r="D765" s="229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</row>
    <row r="766" spans="1:30" ht="15.75" customHeight="1" x14ac:dyDescent="0.2">
      <c r="A766" s="174"/>
      <c r="B766" s="174"/>
      <c r="C766" s="229"/>
      <c r="D766" s="229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</row>
    <row r="767" spans="1:30" ht="15.75" customHeight="1" x14ac:dyDescent="0.2">
      <c r="A767" s="174"/>
      <c r="B767" s="174"/>
      <c r="C767" s="229"/>
      <c r="D767" s="229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</row>
    <row r="768" spans="1:30" ht="15.75" customHeight="1" x14ac:dyDescent="0.2">
      <c r="A768" s="174"/>
      <c r="B768" s="174"/>
      <c r="C768" s="229"/>
      <c r="D768" s="229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</row>
    <row r="769" spans="1:30" ht="15.75" customHeight="1" x14ac:dyDescent="0.2">
      <c r="A769" s="174"/>
      <c r="B769" s="174"/>
      <c r="C769" s="229"/>
      <c r="D769" s="229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</row>
    <row r="770" spans="1:30" ht="15.75" customHeight="1" x14ac:dyDescent="0.2">
      <c r="A770" s="174"/>
      <c r="B770" s="174"/>
      <c r="C770" s="229"/>
      <c r="D770" s="229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</row>
    <row r="771" spans="1:30" ht="15.75" customHeight="1" x14ac:dyDescent="0.2">
      <c r="A771" s="174"/>
      <c r="B771" s="174"/>
      <c r="C771" s="229"/>
      <c r="D771" s="229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</row>
    <row r="772" spans="1:30" ht="15.75" customHeight="1" x14ac:dyDescent="0.2">
      <c r="A772" s="174"/>
      <c r="B772" s="174"/>
      <c r="C772" s="229"/>
      <c r="D772" s="229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</row>
    <row r="773" spans="1:30" ht="15.75" customHeight="1" x14ac:dyDescent="0.2">
      <c r="A773" s="174"/>
      <c r="B773" s="174"/>
      <c r="C773" s="229"/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</row>
    <row r="774" spans="1:30" ht="15.75" customHeight="1" x14ac:dyDescent="0.2">
      <c r="A774" s="174"/>
      <c r="B774" s="174"/>
      <c r="C774" s="229"/>
      <c r="D774" s="229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  <c r="AC774" s="174"/>
      <c r="AD774" s="174"/>
    </row>
    <row r="775" spans="1:30" ht="15.75" customHeight="1" x14ac:dyDescent="0.2">
      <c r="A775" s="174"/>
      <c r="B775" s="174"/>
      <c r="C775" s="229"/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  <c r="AC775" s="174"/>
      <c r="AD775" s="174"/>
    </row>
    <row r="776" spans="1:30" ht="15.75" customHeight="1" x14ac:dyDescent="0.2">
      <c r="A776" s="174"/>
      <c r="B776" s="174"/>
      <c r="C776" s="229"/>
      <c r="D776" s="229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  <c r="AC776" s="174"/>
      <c r="AD776" s="174"/>
    </row>
    <row r="777" spans="1:30" ht="15.75" customHeight="1" x14ac:dyDescent="0.2">
      <c r="A777" s="174"/>
      <c r="B777" s="174"/>
      <c r="C777" s="229"/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  <c r="AC777" s="174"/>
      <c r="AD777" s="174"/>
    </row>
    <row r="778" spans="1:30" ht="15.75" customHeight="1" x14ac:dyDescent="0.2">
      <c r="A778" s="174"/>
      <c r="B778" s="174"/>
      <c r="C778" s="229"/>
      <c r="D778" s="229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  <c r="AC778" s="174"/>
      <c r="AD778" s="174"/>
    </row>
    <row r="779" spans="1:30" ht="15.75" customHeight="1" x14ac:dyDescent="0.2">
      <c r="A779" s="174"/>
      <c r="B779" s="174"/>
      <c r="C779" s="229"/>
      <c r="D779" s="229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  <c r="AC779" s="174"/>
      <c r="AD779" s="174"/>
    </row>
    <row r="780" spans="1:30" ht="15.75" customHeight="1" x14ac:dyDescent="0.2">
      <c r="A780" s="174"/>
      <c r="B780" s="174"/>
      <c r="C780" s="229"/>
      <c r="D780" s="229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  <c r="AC780" s="174"/>
      <c r="AD780" s="174"/>
    </row>
    <row r="781" spans="1:30" ht="15.75" customHeight="1" x14ac:dyDescent="0.2">
      <c r="A781" s="174"/>
      <c r="B781" s="174"/>
      <c r="C781" s="229"/>
      <c r="D781" s="229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  <c r="AC781" s="174"/>
      <c r="AD781" s="174"/>
    </row>
    <row r="782" spans="1:30" ht="15.75" customHeight="1" x14ac:dyDescent="0.2">
      <c r="A782" s="174"/>
      <c r="B782" s="174"/>
      <c r="C782" s="229"/>
      <c r="D782" s="229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  <c r="AC782" s="174"/>
      <c r="AD782" s="174"/>
    </row>
    <row r="783" spans="1:30" ht="15.75" customHeight="1" x14ac:dyDescent="0.2">
      <c r="A783" s="174"/>
      <c r="B783" s="174"/>
      <c r="C783" s="229"/>
      <c r="D783" s="229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  <c r="AC783" s="174"/>
      <c r="AD783" s="174"/>
    </row>
    <row r="784" spans="1:30" ht="15.75" customHeight="1" x14ac:dyDescent="0.2">
      <c r="A784" s="174"/>
      <c r="B784" s="174"/>
      <c r="C784" s="229"/>
      <c r="D784" s="229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  <c r="AC784" s="174"/>
      <c r="AD784" s="174"/>
    </row>
    <row r="785" spans="1:30" ht="15.75" customHeight="1" x14ac:dyDescent="0.2">
      <c r="A785" s="174"/>
      <c r="B785" s="174"/>
      <c r="C785" s="229"/>
      <c r="D785" s="229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  <c r="AC785" s="174"/>
      <c r="AD785" s="174"/>
    </row>
    <row r="786" spans="1:30" ht="15.75" customHeight="1" x14ac:dyDescent="0.2">
      <c r="A786" s="174"/>
      <c r="B786" s="174"/>
      <c r="C786" s="229"/>
      <c r="D786" s="229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  <c r="AC786" s="174"/>
      <c r="AD786" s="174"/>
    </row>
    <row r="787" spans="1:30" ht="15.75" customHeight="1" x14ac:dyDescent="0.2">
      <c r="A787" s="174"/>
      <c r="B787" s="174"/>
      <c r="C787" s="229"/>
      <c r="D787" s="229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  <c r="AC787" s="174"/>
      <c r="AD787" s="174"/>
    </row>
    <row r="788" spans="1:30" ht="15.75" customHeight="1" x14ac:dyDescent="0.2">
      <c r="A788" s="174"/>
      <c r="B788" s="174"/>
      <c r="C788" s="229"/>
      <c r="D788" s="229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  <c r="AC788" s="174"/>
      <c r="AD788" s="174"/>
    </row>
    <row r="789" spans="1:30" ht="15.75" customHeight="1" x14ac:dyDescent="0.2">
      <c r="A789" s="174"/>
      <c r="B789" s="174"/>
      <c r="C789" s="229"/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  <c r="AC789" s="174"/>
      <c r="AD789" s="174"/>
    </row>
    <row r="790" spans="1:30" ht="15.75" customHeight="1" x14ac:dyDescent="0.2">
      <c r="A790" s="174"/>
      <c r="B790" s="174"/>
      <c r="C790" s="229"/>
      <c r="D790" s="229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  <c r="AC790" s="174"/>
      <c r="AD790" s="174"/>
    </row>
    <row r="791" spans="1:30" ht="15.75" customHeight="1" x14ac:dyDescent="0.2">
      <c r="A791" s="174"/>
      <c r="B791" s="174"/>
      <c r="C791" s="229"/>
      <c r="D791" s="229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  <c r="AC791" s="174"/>
      <c r="AD791" s="174"/>
    </row>
    <row r="792" spans="1:30" ht="15.75" customHeight="1" x14ac:dyDescent="0.2">
      <c r="A792" s="174"/>
      <c r="B792" s="174"/>
      <c r="C792" s="229"/>
      <c r="D792" s="229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  <c r="AC792" s="174"/>
      <c r="AD792" s="174"/>
    </row>
    <row r="793" spans="1:30" ht="15.75" customHeight="1" x14ac:dyDescent="0.2">
      <c r="A793" s="174"/>
      <c r="B793" s="174"/>
      <c r="C793" s="229"/>
      <c r="D793" s="229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</row>
    <row r="794" spans="1:30" ht="15.75" customHeight="1" x14ac:dyDescent="0.2">
      <c r="A794" s="174"/>
      <c r="B794" s="174"/>
      <c r="C794" s="229"/>
      <c r="D794" s="229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</row>
    <row r="795" spans="1:30" ht="15.75" customHeight="1" x14ac:dyDescent="0.2">
      <c r="A795" s="174"/>
      <c r="B795" s="174"/>
      <c r="C795" s="229"/>
      <c r="D795" s="229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</row>
    <row r="796" spans="1:30" ht="15.75" customHeight="1" x14ac:dyDescent="0.2">
      <c r="A796" s="174"/>
      <c r="B796" s="174"/>
      <c r="C796" s="229"/>
      <c r="D796" s="229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</row>
    <row r="797" spans="1:30" ht="15.75" customHeight="1" x14ac:dyDescent="0.2">
      <c r="A797" s="174"/>
      <c r="B797" s="174"/>
      <c r="C797" s="229"/>
      <c r="D797" s="229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</row>
    <row r="798" spans="1:30" ht="15.75" customHeight="1" x14ac:dyDescent="0.2">
      <c r="A798" s="174"/>
      <c r="B798" s="174"/>
      <c r="C798" s="229"/>
      <c r="D798" s="229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</row>
    <row r="799" spans="1:30" ht="15.75" customHeight="1" x14ac:dyDescent="0.2">
      <c r="A799" s="174"/>
      <c r="B799" s="174"/>
      <c r="C799" s="229"/>
      <c r="D799" s="229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</row>
    <row r="800" spans="1:30" ht="15.75" customHeight="1" x14ac:dyDescent="0.2">
      <c r="A800" s="174"/>
      <c r="B800" s="174"/>
      <c r="C800" s="229"/>
      <c r="D800" s="229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</row>
    <row r="801" spans="1:30" ht="15.75" customHeight="1" x14ac:dyDescent="0.2">
      <c r="A801" s="174"/>
      <c r="B801" s="174"/>
      <c r="C801" s="229"/>
      <c r="D801" s="229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</row>
    <row r="802" spans="1:30" ht="15.75" customHeight="1" x14ac:dyDescent="0.2">
      <c r="A802" s="174"/>
      <c r="B802" s="174"/>
      <c r="C802" s="229"/>
      <c r="D802" s="229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</row>
    <row r="803" spans="1:30" ht="15.75" customHeight="1" x14ac:dyDescent="0.2">
      <c r="A803" s="174"/>
      <c r="B803" s="174"/>
      <c r="C803" s="229"/>
      <c r="D803" s="229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</row>
    <row r="804" spans="1:30" ht="15.75" customHeight="1" x14ac:dyDescent="0.2">
      <c r="A804" s="174"/>
      <c r="B804" s="174"/>
      <c r="C804" s="229"/>
      <c r="D804" s="229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</row>
    <row r="805" spans="1:30" ht="15.75" customHeight="1" x14ac:dyDescent="0.2">
      <c r="A805" s="174"/>
      <c r="B805" s="174"/>
      <c r="C805" s="229"/>
      <c r="D805" s="229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</row>
    <row r="806" spans="1:30" ht="15.75" customHeight="1" x14ac:dyDescent="0.2">
      <c r="A806" s="174"/>
      <c r="B806" s="174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</row>
    <row r="807" spans="1:30" ht="15.75" customHeight="1" x14ac:dyDescent="0.2">
      <c r="A807" s="174"/>
      <c r="B807" s="174"/>
      <c r="C807" s="229"/>
      <c r="D807" s="229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</row>
    <row r="808" spans="1:30" ht="15.75" customHeight="1" x14ac:dyDescent="0.2">
      <c r="A808" s="174"/>
      <c r="B808" s="174"/>
      <c r="C808" s="229"/>
      <c r="D808" s="229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  <c r="AC808" s="174"/>
      <c r="AD808" s="174"/>
    </row>
    <row r="809" spans="1:30" ht="15.75" customHeight="1" x14ac:dyDescent="0.2">
      <c r="A809" s="174"/>
      <c r="B809" s="174"/>
      <c r="C809" s="229"/>
      <c r="D809" s="229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  <c r="AC809" s="174"/>
      <c r="AD809" s="174"/>
    </row>
    <row r="810" spans="1:30" ht="15.75" customHeight="1" x14ac:dyDescent="0.2">
      <c r="A810" s="174"/>
      <c r="B810" s="174"/>
      <c r="C810" s="229"/>
      <c r="D810" s="229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  <c r="AC810" s="174"/>
      <c r="AD810" s="174"/>
    </row>
    <row r="811" spans="1:30" ht="15.75" customHeight="1" x14ac:dyDescent="0.2">
      <c r="A811" s="174"/>
      <c r="B811" s="174"/>
      <c r="C811" s="229"/>
      <c r="D811" s="229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  <c r="AC811" s="174"/>
      <c r="AD811" s="174"/>
    </row>
    <row r="812" spans="1:30" ht="15.75" customHeight="1" x14ac:dyDescent="0.2">
      <c r="A812" s="174"/>
      <c r="B812" s="174"/>
      <c r="C812" s="229"/>
      <c r="D812" s="229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  <c r="AC812" s="174"/>
      <c r="AD812" s="174"/>
    </row>
    <row r="813" spans="1:30" ht="15.75" customHeight="1" x14ac:dyDescent="0.2">
      <c r="A813" s="174"/>
      <c r="B813" s="174"/>
      <c r="C813" s="229"/>
      <c r="D813" s="229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</row>
    <row r="814" spans="1:30" ht="15.75" customHeight="1" x14ac:dyDescent="0.2">
      <c r="A814" s="174"/>
      <c r="B814" s="174"/>
      <c r="C814" s="229"/>
      <c r="D814" s="229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  <c r="AC814" s="174"/>
      <c r="AD814" s="174"/>
    </row>
    <row r="815" spans="1:30" ht="15.75" customHeight="1" x14ac:dyDescent="0.2">
      <c r="A815" s="174"/>
      <c r="B815" s="174"/>
      <c r="C815" s="229"/>
      <c r="D815" s="229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  <c r="AC815" s="174"/>
      <c r="AD815" s="174"/>
    </row>
    <row r="816" spans="1:30" ht="15.75" customHeight="1" x14ac:dyDescent="0.2">
      <c r="A816" s="174"/>
      <c r="B816" s="174"/>
      <c r="C816" s="229"/>
      <c r="D816" s="229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  <c r="AC816" s="174"/>
      <c r="AD816" s="174"/>
    </row>
    <row r="817" spans="1:30" ht="15.75" customHeight="1" x14ac:dyDescent="0.2">
      <c r="A817" s="174"/>
      <c r="B817" s="174"/>
      <c r="C817" s="229"/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</row>
    <row r="818" spans="1:30" ht="15.75" customHeight="1" x14ac:dyDescent="0.2">
      <c r="A818" s="174"/>
      <c r="B818" s="174"/>
      <c r="C818" s="229"/>
      <c r="D818" s="229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</row>
    <row r="819" spans="1:30" ht="15.75" customHeight="1" x14ac:dyDescent="0.2">
      <c r="A819" s="174"/>
      <c r="B819" s="174"/>
      <c r="C819" s="229"/>
      <c r="D819" s="229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</row>
    <row r="820" spans="1:30" ht="15.75" customHeight="1" x14ac:dyDescent="0.2">
      <c r="A820" s="174"/>
      <c r="B820" s="174"/>
      <c r="C820" s="229"/>
      <c r="D820" s="229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</row>
    <row r="821" spans="1:30" ht="15.75" customHeight="1" x14ac:dyDescent="0.2">
      <c r="A821" s="174"/>
      <c r="B821" s="174"/>
      <c r="C821" s="229"/>
      <c r="D821" s="229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</row>
    <row r="822" spans="1:30" ht="15.75" customHeight="1" x14ac:dyDescent="0.2">
      <c r="A822" s="174"/>
      <c r="B822" s="174"/>
      <c r="C822" s="229"/>
      <c r="D822" s="229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</row>
    <row r="823" spans="1:30" ht="15.75" customHeight="1" x14ac:dyDescent="0.2">
      <c r="A823" s="174"/>
      <c r="B823" s="174"/>
      <c r="C823" s="229"/>
      <c r="D823" s="229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</row>
    <row r="824" spans="1:30" ht="15.75" customHeight="1" x14ac:dyDescent="0.2">
      <c r="A824" s="174"/>
      <c r="B824" s="174"/>
      <c r="C824" s="229"/>
      <c r="D824" s="229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</row>
    <row r="825" spans="1:30" ht="15.75" customHeight="1" x14ac:dyDescent="0.2">
      <c r="A825" s="174"/>
      <c r="B825" s="174"/>
      <c r="C825" s="229"/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</row>
    <row r="826" spans="1:30" ht="15.75" customHeight="1" x14ac:dyDescent="0.2">
      <c r="A826" s="174"/>
      <c r="B826" s="174"/>
      <c r="C826" s="229"/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</row>
    <row r="827" spans="1:30" ht="15.75" customHeight="1" x14ac:dyDescent="0.2">
      <c r="A827" s="174"/>
      <c r="B827" s="174"/>
      <c r="C827" s="229"/>
      <c r="D827" s="229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</row>
    <row r="828" spans="1:30" ht="15.75" customHeight="1" x14ac:dyDescent="0.2">
      <c r="A828" s="174"/>
      <c r="B828" s="174"/>
      <c r="C828" s="229"/>
      <c r="D828" s="229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</row>
    <row r="829" spans="1:30" ht="15.75" customHeight="1" x14ac:dyDescent="0.2">
      <c r="A829" s="174"/>
      <c r="B829" s="174"/>
      <c r="C829" s="229"/>
      <c r="D829" s="229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</row>
    <row r="830" spans="1:30" ht="15.75" customHeight="1" x14ac:dyDescent="0.2">
      <c r="A830" s="174"/>
      <c r="B830" s="174"/>
      <c r="C830" s="229"/>
      <c r="D830" s="229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</row>
    <row r="831" spans="1:30" ht="15.75" customHeight="1" x14ac:dyDescent="0.2">
      <c r="A831" s="174"/>
      <c r="B831" s="174"/>
      <c r="C831" s="229"/>
      <c r="D831" s="229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</row>
    <row r="832" spans="1:30" ht="15.75" customHeight="1" x14ac:dyDescent="0.2">
      <c r="A832" s="174"/>
      <c r="B832" s="174"/>
      <c r="C832" s="229"/>
      <c r="D832" s="229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  <c r="AC832" s="174"/>
      <c r="AD832" s="174"/>
    </row>
    <row r="833" spans="1:30" ht="15.75" customHeight="1" x14ac:dyDescent="0.2">
      <c r="A833" s="174"/>
      <c r="B833" s="174"/>
      <c r="C833" s="229"/>
      <c r="D833" s="229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  <c r="AC833" s="174"/>
      <c r="AD833" s="174"/>
    </row>
    <row r="834" spans="1:30" ht="15.75" customHeight="1" x14ac:dyDescent="0.2">
      <c r="A834" s="174"/>
      <c r="B834" s="174"/>
      <c r="C834" s="229"/>
      <c r="D834" s="229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  <c r="AC834" s="174"/>
      <c r="AD834" s="174"/>
    </row>
    <row r="835" spans="1:30" ht="15.75" customHeight="1" x14ac:dyDescent="0.2">
      <c r="A835" s="174"/>
      <c r="B835" s="174"/>
      <c r="C835" s="229"/>
      <c r="D835" s="229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  <c r="AC835" s="174"/>
      <c r="AD835" s="174"/>
    </row>
    <row r="836" spans="1:30" ht="15.75" customHeight="1" x14ac:dyDescent="0.2">
      <c r="A836" s="174"/>
      <c r="B836" s="174"/>
      <c r="C836" s="229"/>
      <c r="D836" s="229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</row>
    <row r="837" spans="1:30" ht="15.75" customHeight="1" x14ac:dyDescent="0.2">
      <c r="A837" s="174"/>
      <c r="B837" s="174"/>
      <c r="C837" s="229"/>
      <c r="D837" s="229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  <c r="AC837" s="174"/>
      <c r="AD837" s="174"/>
    </row>
    <row r="838" spans="1:30" ht="15.75" customHeight="1" x14ac:dyDescent="0.2">
      <c r="A838" s="174"/>
      <c r="B838" s="174"/>
      <c r="C838" s="229"/>
      <c r="D838" s="229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  <c r="AC838" s="174"/>
      <c r="AD838" s="174"/>
    </row>
    <row r="839" spans="1:30" ht="15.75" customHeight="1" x14ac:dyDescent="0.2">
      <c r="A839" s="174"/>
      <c r="B839" s="174"/>
      <c r="C839" s="229"/>
      <c r="D839" s="229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  <c r="AC839" s="174"/>
      <c r="AD839" s="174"/>
    </row>
    <row r="840" spans="1:30" ht="15.75" customHeight="1" x14ac:dyDescent="0.2">
      <c r="A840" s="174"/>
      <c r="B840" s="174"/>
      <c r="C840" s="229"/>
      <c r="D840" s="229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  <c r="AC840" s="174"/>
      <c r="AD840" s="174"/>
    </row>
    <row r="841" spans="1:30" ht="15.75" customHeight="1" x14ac:dyDescent="0.2">
      <c r="A841" s="174"/>
      <c r="B841" s="174"/>
      <c r="C841" s="229"/>
      <c r="D841" s="229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</row>
    <row r="842" spans="1:30" ht="15.75" customHeight="1" x14ac:dyDescent="0.2">
      <c r="A842" s="174"/>
      <c r="B842" s="174"/>
      <c r="C842" s="229"/>
      <c r="D842" s="229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  <c r="AC842" s="174"/>
      <c r="AD842" s="174"/>
    </row>
    <row r="843" spans="1:30" ht="15.75" customHeight="1" x14ac:dyDescent="0.2">
      <c r="A843" s="174"/>
      <c r="B843" s="174"/>
      <c r="C843" s="229"/>
      <c r="D843" s="229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  <c r="AC843" s="174"/>
      <c r="AD843" s="174"/>
    </row>
    <row r="844" spans="1:30" ht="15.75" customHeight="1" x14ac:dyDescent="0.2">
      <c r="A844" s="174"/>
      <c r="B844" s="174"/>
      <c r="C844" s="229"/>
      <c r="D844" s="229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  <c r="AC844" s="174"/>
      <c r="AD844" s="174"/>
    </row>
    <row r="845" spans="1:30" ht="15.75" customHeight="1" x14ac:dyDescent="0.2">
      <c r="A845" s="174"/>
      <c r="B845" s="174"/>
      <c r="C845" s="229"/>
      <c r="D845" s="229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  <c r="AC845" s="174"/>
      <c r="AD845" s="174"/>
    </row>
    <row r="846" spans="1:30" ht="15.75" customHeight="1" x14ac:dyDescent="0.2">
      <c r="A846" s="174"/>
      <c r="B846" s="174"/>
      <c r="C846" s="229"/>
      <c r="D846" s="229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  <c r="AC846" s="174"/>
      <c r="AD846" s="174"/>
    </row>
    <row r="847" spans="1:30" ht="15.75" customHeight="1" x14ac:dyDescent="0.2">
      <c r="A847" s="174"/>
      <c r="B847" s="174"/>
      <c r="C847" s="229"/>
      <c r="D847" s="229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  <c r="AC847" s="174"/>
      <c r="AD847" s="174"/>
    </row>
    <row r="848" spans="1:30" ht="15.75" customHeight="1" x14ac:dyDescent="0.2">
      <c r="A848" s="174"/>
      <c r="B848" s="174"/>
      <c r="C848" s="229"/>
      <c r="D848" s="229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  <c r="AC848" s="174"/>
      <c r="AD848" s="174"/>
    </row>
    <row r="849" spans="1:30" ht="15.75" customHeight="1" x14ac:dyDescent="0.2">
      <c r="A849" s="174"/>
      <c r="B849" s="174"/>
      <c r="C849" s="229"/>
      <c r="D849" s="229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  <c r="AC849" s="174"/>
      <c r="AD849" s="174"/>
    </row>
    <row r="850" spans="1:30" ht="15.75" customHeight="1" x14ac:dyDescent="0.2">
      <c r="A850" s="174"/>
      <c r="B850" s="174"/>
      <c r="C850" s="229"/>
      <c r="D850" s="229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  <c r="AC850" s="174"/>
      <c r="AD850" s="174"/>
    </row>
    <row r="851" spans="1:30" ht="15.75" customHeight="1" x14ac:dyDescent="0.2">
      <c r="A851" s="174"/>
      <c r="B851" s="174"/>
      <c r="C851" s="229"/>
      <c r="D851" s="229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  <c r="AC851" s="174"/>
      <c r="AD851" s="174"/>
    </row>
    <row r="852" spans="1:30" ht="15.75" customHeight="1" x14ac:dyDescent="0.2">
      <c r="A852" s="174"/>
      <c r="B852" s="174"/>
      <c r="C852" s="229"/>
      <c r="D852" s="229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  <c r="AC852" s="174"/>
      <c r="AD852" s="174"/>
    </row>
    <row r="853" spans="1:30" ht="15.75" customHeight="1" x14ac:dyDescent="0.2">
      <c r="A853" s="174"/>
      <c r="B853" s="174"/>
      <c r="C853" s="229"/>
      <c r="D853" s="229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  <c r="AC853" s="174"/>
      <c r="AD853" s="174"/>
    </row>
    <row r="854" spans="1:30" ht="15.75" customHeight="1" x14ac:dyDescent="0.2">
      <c r="A854" s="174"/>
      <c r="B854" s="174"/>
      <c r="C854" s="229"/>
      <c r="D854" s="229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  <c r="AC854" s="174"/>
      <c r="AD854" s="174"/>
    </row>
    <row r="855" spans="1:30" ht="15.75" customHeight="1" x14ac:dyDescent="0.2">
      <c r="A855" s="174"/>
      <c r="B855" s="174"/>
      <c r="C855" s="229"/>
      <c r="D855" s="229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  <c r="AC855" s="174"/>
      <c r="AD855" s="174"/>
    </row>
    <row r="856" spans="1:30" ht="15.75" customHeight="1" x14ac:dyDescent="0.2">
      <c r="A856" s="174"/>
      <c r="B856" s="174"/>
      <c r="C856" s="229"/>
      <c r="D856" s="229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  <c r="AC856" s="174"/>
      <c r="AD856" s="174"/>
    </row>
    <row r="857" spans="1:30" ht="15.75" customHeight="1" x14ac:dyDescent="0.2">
      <c r="A857" s="174"/>
      <c r="B857" s="174"/>
      <c r="C857" s="229"/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</row>
    <row r="858" spans="1:30" ht="15.75" customHeight="1" x14ac:dyDescent="0.2">
      <c r="A858" s="174"/>
      <c r="B858" s="174"/>
      <c r="C858" s="229"/>
      <c r="D858" s="229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</row>
    <row r="859" spans="1:30" ht="15.75" customHeight="1" x14ac:dyDescent="0.2">
      <c r="A859" s="174"/>
      <c r="B859" s="174"/>
      <c r="C859" s="229"/>
      <c r="D859" s="229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</row>
    <row r="860" spans="1:30" ht="15.75" customHeight="1" x14ac:dyDescent="0.2">
      <c r="A860" s="174"/>
      <c r="B860" s="174"/>
      <c r="C860" s="229"/>
      <c r="D860" s="229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</row>
    <row r="861" spans="1:30" ht="15.75" customHeight="1" x14ac:dyDescent="0.2">
      <c r="A861" s="174"/>
      <c r="B861" s="174"/>
      <c r="C861" s="229"/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</row>
    <row r="862" spans="1:30" ht="15.75" customHeight="1" x14ac:dyDescent="0.2">
      <c r="A862" s="174"/>
      <c r="B862" s="174"/>
      <c r="C862" s="229"/>
      <c r="D862" s="229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</row>
    <row r="863" spans="1:30" ht="15.75" customHeight="1" x14ac:dyDescent="0.2">
      <c r="A863" s="174"/>
      <c r="B863" s="174"/>
      <c r="C863" s="229"/>
      <c r="D863" s="229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</row>
    <row r="864" spans="1:30" ht="15.75" customHeight="1" x14ac:dyDescent="0.2">
      <c r="A864" s="174"/>
      <c r="B864" s="174"/>
      <c r="C864" s="229"/>
      <c r="D864" s="229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</row>
    <row r="865" spans="1:30" ht="15.75" customHeight="1" x14ac:dyDescent="0.2">
      <c r="A865" s="174"/>
      <c r="B865" s="174"/>
      <c r="C865" s="229"/>
      <c r="D865" s="229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</row>
    <row r="866" spans="1:30" ht="15.75" customHeight="1" x14ac:dyDescent="0.2">
      <c r="A866" s="174"/>
      <c r="B866" s="174"/>
      <c r="C866" s="229"/>
      <c r="D866" s="229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  <c r="AC866" s="174"/>
      <c r="AD866" s="174"/>
    </row>
    <row r="867" spans="1:30" ht="15.75" customHeight="1" x14ac:dyDescent="0.2">
      <c r="A867" s="174"/>
      <c r="B867" s="174"/>
      <c r="C867" s="229"/>
      <c r="D867" s="229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  <c r="AC867" s="174"/>
      <c r="AD867" s="174"/>
    </row>
    <row r="868" spans="1:30" ht="15.75" customHeight="1" x14ac:dyDescent="0.2">
      <c r="A868" s="174"/>
      <c r="B868" s="174"/>
      <c r="C868" s="229"/>
      <c r="D868" s="229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  <c r="AC868" s="174"/>
      <c r="AD868" s="174"/>
    </row>
    <row r="869" spans="1:30" ht="15.75" customHeight="1" x14ac:dyDescent="0.2">
      <c r="A869" s="174"/>
      <c r="B869" s="174"/>
      <c r="C869" s="229"/>
      <c r="D869" s="229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  <c r="AC869" s="174"/>
      <c r="AD869" s="174"/>
    </row>
    <row r="870" spans="1:30" ht="15.75" customHeight="1" x14ac:dyDescent="0.2">
      <c r="A870" s="174"/>
      <c r="B870" s="174"/>
      <c r="C870" s="229"/>
      <c r="D870" s="229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  <c r="AC870" s="174"/>
      <c r="AD870" s="174"/>
    </row>
    <row r="871" spans="1:30" ht="15.75" customHeight="1" x14ac:dyDescent="0.2">
      <c r="A871" s="174"/>
      <c r="B871" s="174"/>
      <c r="C871" s="229"/>
      <c r="D871" s="229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  <c r="AC871" s="174"/>
      <c r="AD871" s="174"/>
    </row>
    <row r="872" spans="1:30" ht="15.75" customHeight="1" x14ac:dyDescent="0.2">
      <c r="A872" s="174"/>
      <c r="B872" s="174"/>
      <c r="C872" s="229"/>
      <c r="D872" s="229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  <c r="AC872" s="174"/>
      <c r="AD872" s="174"/>
    </row>
    <row r="873" spans="1:30" ht="15.75" customHeight="1" x14ac:dyDescent="0.2">
      <c r="A873" s="174"/>
      <c r="B873" s="174"/>
      <c r="C873" s="229"/>
      <c r="D873" s="229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  <c r="AC873" s="174"/>
      <c r="AD873" s="174"/>
    </row>
    <row r="874" spans="1:30" ht="15.75" customHeight="1" x14ac:dyDescent="0.2">
      <c r="A874" s="174"/>
      <c r="B874" s="174"/>
      <c r="C874" s="229"/>
      <c r="D874" s="229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  <c r="AC874" s="174"/>
      <c r="AD874" s="174"/>
    </row>
    <row r="875" spans="1:30" ht="15.75" customHeight="1" x14ac:dyDescent="0.2">
      <c r="A875" s="174"/>
      <c r="B875" s="174"/>
      <c r="C875" s="229"/>
      <c r="D875" s="229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  <c r="AC875" s="174"/>
      <c r="AD875" s="174"/>
    </row>
    <row r="876" spans="1:30" ht="15.75" customHeight="1" x14ac:dyDescent="0.2">
      <c r="A876" s="174"/>
      <c r="B876" s="174"/>
      <c r="C876" s="229"/>
      <c r="D876" s="229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  <c r="AC876" s="174"/>
      <c r="AD876" s="174"/>
    </row>
    <row r="877" spans="1:30" ht="15.75" customHeight="1" x14ac:dyDescent="0.2">
      <c r="A877" s="174"/>
      <c r="B877" s="174"/>
      <c r="C877" s="229"/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  <c r="AC877" s="174"/>
      <c r="AD877" s="174"/>
    </row>
    <row r="878" spans="1:30" ht="15.75" customHeight="1" x14ac:dyDescent="0.2">
      <c r="A878" s="174"/>
      <c r="B878" s="174"/>
      <c r="C878" s="229"/>
      <c r="D878" s="229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  <c r="AC878" s="174"/>
      <c r="AD878" s="174"/>
    </row>
    <row r="879" spans="1:30" ht="15.75" customHeight="1" x14ac:dyDescent="0.2">
      <c r="A879" s="174"/>
      <c r="B879" s="174"/>
      <c r="C879" s="229"/>
      <c r="D879" s="229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</row>
    <row r="880" spans="1:30" ht="15.75" customHeight="1" x14ac:dyDescent="0.2">
      <c r="A880" s="174"/>
      <c r="B880" s="174"/>
      <c r="C880" s="229"/>
      <c r="D880" s="229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</row>
    <row r="881" spans="1:30" ht="15.75" customHeight="1" x14ac:dyDescent="0.2">
      <c r="A881" s="174"/>
      <c r="B881" s="174"/>
      <c r="C881" s="229"/>
      <c r="D881" s="229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  <c r="AC881" s="174"/>
      <c r="AD881" s="174"/>
    </row>
    <row r="882" spans="1:30" ht="15.75" customHeight="1" x14ac:dyDescent="0.2">
      <c r="A882" s="174"/>
      <c r="B882" s="174"/>
      <c r="C882" s="229"/>
      <c r="D882" s="229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  <c r="AC882" s="174"/>
      <c r="AD882" s="174"/>
    </row>
    <row r="883" spans="1:30" ht="15.75" customHeight="1" x14ac:dyDescent="0.2">
      <c r="A883" s="174"/>
      <c r="B883" s="174"/>
      <c r="C883" s="229"/>
      <c r="D883" s="229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  <c r="AC883" s="174"/>
      <c r="AD883" s="174"/>
    </row>
    <row r="884" spans="1:30" ht="15.75" customHeight="1" x14ac:dyDescent="0.2">
      <c r="A884" s="174"/>
      <c r="B884" s="174"/>
      <c r="C884" s="229"/>
      <c r="D884" s="229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  <c r="AC884" s="174"/>
      <c r="AD884" s="174"/>
    </row>
    <row r="885" spans="1:30" ht="15.75" customHeight="1" x14ac:dyDescent="0.2">
      <c r="A885" s="174"/>
      <c r="B885" s="174"/>
      <c r="C885" s="229"/>
      <c r="D885" s="229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</row>
    <row r="886" spans="1:30" ht="15.75" customHeight="1" x14ac:dyDescent="0.2">
      <c r="A886" s="174"/>
      <c r="B886" s="174"/>
      <c r="C886" s="229"/>
      <c r="D886" s="229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</row>
    <row r="887" spans="1:30" ht="15.75" customHeight="1" x14ac:dyDescent="0.2">
      <c r="A887" s="174"/>
      <c r="B887" s="174"/>
      <c r="C887" s="229"/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</row>
    <row r="888" spans="1:30" ht="15.75" customHeight="1" x14ac:dyDescent="0.2">
      <c r="A888" s="174"/>
      <c r="B888" s="174"/>
      <c r="C888" s="229"/>
      <c r="D888" s="229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</row>
    <row r="889" spans="1:30" ht="15.75" customHeight="1" x14ac:dyDescent="0.2">
      <c r="A889" s="174"/>
      <c r="B889" s="174"/>
      <c r="C889" s="229"/>
      <c r="D889" s="229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</row>
    <row r="890" spans="1:30" ht="15.75" customHeight="1" x14ac:dyDescent="0.2">
      <c r="A890" s="174"/>
      <c r="B890" s="174"/>
      <c r="C890" s="229"/>
      <c r="D890" s="229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</row>
    <row r="891" spans="1:30" ht="15.75" customHeight="1" x14ac:dyDescent="0.2">
      <c r="A891" s="174"/>
      <c r="B891" s="174"/>
      <c r="C891" s="229"/>
      <c r="D891" s="229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</row>
    <row r="892" spans="1:30" ht="15.75" customHeight="1" x14ac:dyDescent="0.2">
      <c r="A892" s="174"/>
      <c r="B892" s="174"/>
      <c r="C892" s="229"/>
      <c r="D892" s="229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</row>
    <row r="893" spans="1:30" ht="15.75" customHeight="1" x14ac:dyDescent="0.2">
      <c r="A893" s="174"/>
      <c r="B893" s="174"/>
      <c r="C893" s="229"/>
      <c r="D893" s="229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</row>
    <row r="894" spans="1:30" ht="15.75" customHeight="1" x14ac:dyDescent="0.2">
      <c r="A894" s="174"/>
      <c r="B894" s="174"/>
      <c r="C894" s="229"/>
      <c r="D894" s="229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  <c r="AC894" s="174"/>
      <c r="AD894" s="174"/>
    </row>
    <row r="895" spans="1:30" ht="15.75" customHeight="1" x14ac:dyDescent="0.2">
      <c r="A895" s="174"/>
      <c r="B895" s="174"/>
      <c r="C895" s="229"/>
      <c r="D895" s="229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  <c r="AC895" s="174"/>
      <c r="AD895" s="174"/>
    </row>
    <row r="896" spans="1:30" ht="15.75" customHeight="1" x14ac:dyDescent="0.2">
      <c r="A896" s="174"/>
      <c r="B896" s="174"/>
      <c r="C896" s="229"/>
      <c r="D896" s="229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  <c r="AC896" s="174"/>
      <c r="AD896" s="174"/>
    </row>
    <row r="897" spans="1:30" ht="15.75" customHeight="1" x14ac:dyDescent="0.2">
      <c r="A897" s="174"/>
      <c r="B897" s="174"/>
      <c r="C897" s="229"/>
      <c r="D897" s="229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  <c r="AC897" s="174"/>
      <c r="AD897" s="174"/>
    </row>
    <row r="898" spans="1:30" ht="15.75" customHeight="1" x14ac:dyDescent="0.2">
      <c r="A898" s="174"/>
      <c r="B898" s="174"/>
      <c r="C898" s="229"/>
      <c r="D898" s="229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  <c r="AC898" s="174"/>
      <c r="AD898" s="174"/>
    </row>
    <row r="899" spans="1:30" ht="15.75" customHeight="1" x14ac:dyDescent="0.2">
      <c r="A899" s="174"/>
      <c r="B899" s="174"/>
      <c r="C899" s="229"/>
      <c r="D899" s="229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  <c r="AC899" s="174"/>
      <c r="AD899" s="174"/>
    </row>
    <row r="900" spans="1:30" ht="15.75" customHeight="1" x14ac:dyDescent="0.2">
      <c r="A900" s="174"/>
      <c r="B900" s="174"/>
      <c r="C900" s="229"/>
      <c r="D900" s="229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  <c r="AC900" s="174"/>
      <c r="AD900" s="174"/>
    </row>
    <row r="901" spans="1:30" ht="15.75" customHeight="1" x14ac:dyDescent="0.2">
      <c r="A901" s="174"/>
      <c r="B901" s="174"/>
      <c r="C901" s="229"/>
      <c r="D901" s="229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  <c r="AC901" s="174"/>
      <c r="AD901" s="174"/>
    </row>
    <row r="902" spans="1:30" ht="15.75" customHeight="1" x14ac:dyDescent="0.2">
      <c r="A902" s="174"/>
      <c r="B902" s="174"/>
      <c r="C902" s="229"/>
      <c r="D902" s="229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  <c r="AC902" s="174"/>
      <c r="AD902" s="174"/>
    </row>
    <row r="903" spans="1:30" ht="15.75" customHeight="1" x14ac:dyDescent="0.2">
      <c r="A903" s="174"/>
      <c r="B903" s="174"/>
      <c r="C903" s="229"/>
      <c r="D903" s="229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</row>
    <row r="904" spans="1:30" ht="15.75" customHeight="1" x14ac:dyDescent="0.2">
      <c r="A904" s="174"/>
      <c r="B904" s="174"/>
      <c r="C904" s="229"/>
      <c r="D904" s="229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  <c r="AC904" s="174"/>
      <c r="AD904" s="174"/>
    </row>
    <row r="905" spans="1:30" ht="15.75" customHeight="1" x14ac:dyDescent="0.2">
      <c r="A905" s="174"/>
      <c r="B905" s="174"/>
      <c r="C905" s="229"/>
      <c r="D905" s="229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  <c r="AC905" s="174"/>
      <c r="AD905" s="174"/>
    </row>
    <row r="906" spans="1:30" ht="15.75" customHeight="1" x14ac:dyDescent="0.2">
      <c r="A906" s="174"/>
      <c r="B906" s="174"/>
      <c r="C906" s="229"/>
      <c r="D906" s="229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  <c r="AC906" s="174"/>
      <c r="AD906" s="174"/>
    </row>
    <row r="907" spans="1:30" ht="15.75" customHeight="1" x14ac:dyDescent="0.2">
      <c r="A907" s="174"/>
      <c r="B907" s="174"/>
      <c r="C907" s="229"/>
      <c r="D907" s="229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  <c r="AC907" s="174"/>
      <c r="AD907" s="174"/>
    </row>
    <row r="908" spans="1:30" ht="15.75" customHeight="1" x14ac:dyDescent="0.2">
      <c r="A908" s="174"/>
      <c r="B908" s="174"/>
      <c r="C908" s="229"/>
      <c r="D908" s="229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  <c r="AC908" s="174"/>
      <c r="AD908" s="174"/>
    </row>
    <row r="909" spans="1:30" ht="15.75" customHeight="1" x14ac:dyDescent="0.2">
      <c r="A909" s="174"/>
      <c r="B909" s="174"/>
      <c r="C909" s="229"/>
      <c r="D909" s="229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  <c r="AC909" s="174"/>
      <c r="AD909" s="174"/>
    </row>
    <row r="910" spans="1:30" ht="15.75" customHeight="1" x14ac:dyDescent="0.2">
      <c r="A910" s="174"/>
      <c r="B910" s="174"/>
      <c r="C910" s="229"/>
      <c r="D910" s="229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  <c r="AC910" s="174"/>
      <c r="AD910" s="174"/>
    </row>
    <row r="911" spans="1:30" ht="15.75" customHeight="1" x14ac:dyDescent="0.2">
      <c r="A911" s="174"/>
      <c r="B911" s="174"/>
      <c r="C911" s="229"/>
      <c r="D911" s="229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  <c r="AC911" s="174"/>
      <c r="AD911" s="174"/>
    </row>
    <row r="912" spans="1:30" ht="15.75" customHeight="1" x14ac:dyDescent="0.2">
      <c r="A912" s="174"/>
      <c r="B912" s="174"/>
      <c r="C912" s="229"/>
      <c r="D912" s="229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</row>
    <row r="913" spans="1:30" ht="15.75" customHeight="1" x14ac:dyDescent="0.2">
      <c r="A913" s="174"/>
      <c r="B913" s="174"/>
      <c r="C913" s="229"/>
      <c r="D913" s="229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</row>
    <row r="914" spans="1:30" ht="15.75" customHeight="1" x14ac:dyDescent="0.2">
      <c r="A914" s="174"/>
      <c r="B914" s="174"/>
      <c r="C914" s="229"/>
      <c r="D914" s="229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</row>
    <row r="915" spans="1:30" ht="15.75" customHeight="1" x14ac:dyDescent="0.2">
      <c r="A915" s="174"/>
      <c r="B915" s="174"/>
      <c r="C915" s="229"/>
      <c r="D915" s="229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</row>
    <row r="916" spans="1:30" ht="15.75" customHeight="1" x14ac:dyDescent="0.2">
      <c r="A916" s="174"/>
      <c r="B916" s="174"/>
      <c r="C916" s="229"/>
      <c r="D916" s="229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</row>
    <row r="917" spans="1:30" ht="15.75" customHeight="1" x14ac:dyDescent="0.2">
      <c r="A917" s="174"/>
      <c r="B917" s="174"/>
      <c r="C917" s="229"/>
      <c r="D917" s="229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</row>
    <row r="918" spans="1:30" ht="15.75" customHeight="1" x14ac:dyDescent="0.2">
      <c r="A918" s="174"/>
      <c r="B918" s="174"/>
      <c r="C918" s="229"/>
      <c r="D918" s="229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</row>
    <row r="919" spans="1:30" ht="15.75" customHeight="1" x14ac:dyDescent="0.2">
      <c r="A919" s="174"/>
      <c r="B919" s="174"/>
      <c r="C919" s="229"/>
      <c r="D919" s="229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</row>
    <row r="920" spans="1:30" ht="15.75" customHeight="1" x14ac:dyDescent="0.2">
      <c r="A920" s="174"/>
      <c r="B920" s="174"/>
      <c r="C920" s="229"/>
      <c r="D920" s="229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</row>
    <row r="921" spans="1:30" ht="15.75" customHeight="1" x14ac:dyDescent="0.2">
      <c r="A921" s="174"/>
      <c r="B921" s="174"/>
      <c r="C921" s="229"/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  <c r="AC921" s="174"/>
      <c r="AD921" s="174"/>
    </row>
    <row r="922" spans="1:30" ht="15.75" customHeight="1" x14ac:dyDescent="0.2">
      <c r="A922" s="174"/>
      <c r="B922" s="174"/>
      <c r="C922" s="229"/>
      <c r="D922" s="229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  <c r="AC922" s="174"/>
      <c r="AD922" s="174"/>
    </row>
    <row r="923" spans="1:30" ht="15.75" customHeight="1" x14ac:dyDescent="0.2">
      <c r="A923" s="174"/>
      <c r="B923" s="174"/>
      <c r="C923" s="229"/>
      <c r="D923" s="229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  <c r="AA923" s="174"/>
      <c r="AB923" s="174"/>
      <c r="AC923" s="174"/>
      <c r="AD923" s="174"/>
    </row>
    <row r="924" spans="1:30" ht="15.75" customHeight="1" x14ac:dyDescent="0.2">
      <c r="A924" s="174"/>
      <c r="B924" s="174"/>
      <c r="C924" s="229"/>
      <c r="D924" s="229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  <c r="AA924" s="174"/>
      <c r="AB924" s="174"/>
      <c r="AC924" s="174"/>
      <c r="AD924" s="174"/>
    </row>
    <row r="925" spans="1:30" ht="15.75" customHeight="1" x14ac:dyDescent="0.2">
      <c r="A925" s="174"/>
      <c r="B925" s="174"/>
      <c r="C925" s="229"/>
      <c r="D925" s="229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  <c r="AA925" s="174"/>
      <c r="AB925" s="174"/>
      <c r="AC925" s="174"/>
      <c r="AD925" s="174"/>
    </row>
    <row r="926" spans="1:30" ht="15.75" customHeight="1" x14ac:dyDescent="0.2">
      <c r="A926" s="174"/>
      <c r="B926" s="174"/>
      <c r="C926" s="229"/>
      <c r="D926" s="229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  <c r="AA926" s="174"/>
      <c r="AB926" s="174"/>
      <c r="AC926" s="174"/>
      <c r="AD926" s="174"/>
    </row>
    <row r="927" spans="1:30" ht="15.75" customHeight="1" x14ac:dyDescent="0.2">
      <c r="A927" s="174"/>
      <c r="B927" s="174"/>
      <c r="C927" s="229"/>
      <c r="D927" s="229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  <c r="AA927" s="174"/>
      <c r="AB927" s="174"/>
      <c r="AC927" s="174"/>
      <c r="AD927" s="174"/>
    </row>
    <row r="928" spans="1:30" ht="15.75" customHeight="1" x14ac:dyDescent="0.2">
      <c r="A928" s="174"/>
      <c r="B928" s="174"/>
      <c r="C928" s="229"/>
      <c r="D928" s="229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  <c r="AA928" s="174"/>
      <c r="AB928" s="174"/>
      <c r="AC928" s="174"/>
      <c r="AD928" s="174"/>
    </row>
    <row r="929" spans="1:30" ht="15.75" customHeight="1" x14ac:dyDescent="0.2">
      <c r="A929" s="174"/>
      <c r="B929" s="174"/>
      <c r="C929" s="229"/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  <c r="AA929" s="174"/>
      <c r="AB929" s="174"/>
      <c r="AC929" s="174"/>
      <c r="AD929" s="174"/>
    </row>
    <row r="930" spans="1:30" ht="15.75" customHeight="1" x14ac:dyDescent="0.2">
      <c r="A930" s="174"/>
      <c r="B930" s="174"/>
      <c r="C930" s="229"/>
      <c r="D930" s="229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  <c r="AA930" s="174"/>
      <c r="AB930" s="174"/>
      <c r="AC930" s="174"/>
      <c r="AD930" s="174"/>
    </row>
    <row r="931" spans="1:30" ht="15.75" customHeight="1" x14ac:dyDescent="0.2">
      <c r="A931" s="174"/>
      <c r="B931" s="174"/>
      <c r="C931" s="229"/>
      <c r="D931" s="229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  <c r="AA931" s="174"/>
      <c r="AB931" s="174"/>
      <c r="AC931" s="174"/>
      <c r="AD931" s="174"/>
    </row>
    <row r="932" spans="1:30" ht="15.75" customHeight="1" x14ac:dyDescent="0.2">
      <c r="A932" s="174"/>
      <c r="B932" s="174"/>
      <c r="C932" s="229"/>
      <c r="D932" s="229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  <c r="AC932" s="174"/>
      <c r="AD932" s="174"/>
    </row>
    <row r="933" spans="1:30" ht="15.75" customHeight="1" x14ac:dyDescent="0.2">
      <c r="A933" s="174"/>
      <c r="B933" s="174"/>
      <c r="C933" s="229"/>
      <c r="D933" s="229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  <c r="AA933" s="174"/>
      <c r="AB933" s="174"/>
      <c r="AC933" s="174"/>
      <c r="AD933" s="174"/>
    </row>
    <row r="934" spans="1:30" ht="15.75" customHeight="1" x14ac:dyDescent="0.2">
      <c r="A934" s="174"/>
      <c r="B934" s="174"/>
      <c r="C934" s="229"/>
      <c r="D934" s="229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  <c r="AA934" s="174"/>
      <c r="AB934" s="174"/>
      <c r="AC934" s="174"/>
      <c r="AD934" s="174"/>
    </row>
    <row r="935" spans="1:30" ht="15.75" customHeight="1" x14ac:dyDescent="0.2">
      <c r="A935" s="174"/>
      <c r="B935" s="174"/>
      <c r="C935" s="229"/>
      <c r="D935" s="229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  <c r="AA935" s="174"/>
      <c r="AB935" s="174"/>
      <c r="AC935" s="174"/>
      <c r="AD935" s="174"/>
    </row>
    <row r="936" spans="1:30" ht="15.75" customHeight="1" x14ac:dyDescent="0.2">
      <c r="A936" s="174"/>
      <c r="B936" s="174"/>
      <c r="C936" s="229"/>
      <c r="D936" s="229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  <c r="AA936" s="174"/>
      <c r="AB936" s="174"/>
      <c r="AC936" s="174"/>
      <c r="AD936" s="174"/>
    </row>
    <row r="937" spans="1:30" ht="15.75" customHeight="1" x14ac:dyDescent="0.2">
      <c r="A937" s="174"/>
      <c r="B937" s="174"/>
      <c r="C937" s="229"/>
      <c r="D937" s="229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  <c r="AA937" s="174"/>
      <c r="AB937" s="174"/>
      <c r="AC937" s="174"/>
      <c r="AD937" s="174"/>
    </row>
    <row r="938" spans="1:30" ht="15.75" customHeight="1" x14ac:dyDescent="0.2">
      <c r="A938" s="174"/>
      <c r="B938" s="174"/>
      <c r="C938" s="229"/>
      <c r="D938" s="229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  <c r="AA938" s="174"/>
      <c r="AB938" s="174"/>
      <c r="AC938" s="174"/>
      <c r="AD938" s="174"/>
    </row>
    <row r="939" spans="1:30" ht="15.75" customHeight="1" x14ac:dyDescent="0.2">
      <c r="A939" s="174"/>
      <c r="B939" s="174"/>
      <c r="C939" s="229"/>
      <c r="D939" s="229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  <c r="AA939" s="174"/>
      <c r="AB939" s="174"/>
      <c r="AC939" s="174"/>
      <c r="AD939" s="174"/>
    </row>
    <row r="940" spans="1:30" ht="15.75" customHeight="1" x14ac:dyDescent="0.2">
      <c r="A940" s="174"/>
      <c r="B940" s="174"/>
      <c r="C940" s="229"/>
      <c r="D940" s="229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  <c r="AA940" s="174"/>
      <c r="AB940" s="174"/>
      <c r="AC940" s="174"/>
      <c r="AD940" s="174"/>
    </row>
    <row r="941" spans="1:30" ht="15.75" customHeight="1" x14ac:dyDescent="0.2">
      <c r="A941" s="174"/>
      <c r="B941" s="174"/>
      <c r="C941" s="229"/>
      <c r="D941" s="229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  <c r="AA941" s="174"/>
      <c r="AB941" s="174"/>
      <c r="AC941" s="174"/>
      <c r="AD941" s="174"/>
    </row>
    <row r="942" spans="1:30" ht="15.75" customHeight="1" x14ac:dyDescent="0.2">
      <c r="A942" s="174"/>
      <c r="B942" s="174"/>
      <c r="C942" s="229"/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  <c r="AA942" s="174"/>
      <c r="AB942" s="174"/>
      <c r="AC942" s="174"/>
      <c r="AD942" s="174"/>
    </row>
    <row r="943" spans="1:30" ht="15.75" customHeight="1" x14ac:dyDescent="0.2">
      <c r="A943" s="174"/>
      <c r="B943" s="174"/>
      <c r="C943" s="229"/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  <c r="AA943" s="174"/>
      <c r="AB943" s="174"/>
      <c r="AC943" s="174"/>
      <c r="AD943" s="174"/>
    </row>
    <row r="944" spans="1:30" ht="15.75" customHeight="1" x14ac:dyDescent="0.2">
      <c r="A944" s="174"/>
      <c r="B944" s="174"/>
      <c r="C944" s="229"/>
      <c r="D944" s="229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  <c r="AA944" s="174"/>
      <c r="AB944" s="174"/>
      <c r="AC944" s="174"/>
      <c r="AD944" s="174"/>
    </row>
    <row r="945" spans="1:30" ht="15.75" customHeight="1" x14ac:dyDescent="0.2">
      <c r="A945" s="174"/>
      <c r="B945" s="174"/>
      <c r="C945" s="229"/>
      <c r="D945" s="229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  <c r="AA945" s="174"/>
      <c r="AB945" s="174"/>
      <c r="AC945" s="174"/>
      <c r="AD945" s="174"/>
    </row>
    <row r="946" spans="1:30" ht="15.75" customHeight="1" x14ac:dyDescent="0.2">
      <c r="A946" s="174"/>
      <c r="B946" s="174"/>
      <c r="C946" s="229"/>
      <c r="D946" s="229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  <c r="AA946" s="174"/>
      <c r="AB946" s="174"/>
      <c r="AC946" s="174"/>
      <c r="AD946" s="174"/>
    </row>
    <row r="947" spans="1:30" ht="15.75" customHeight="1" x14ac:dyDescent="0.2">
      <c r="A947" s="174"/>
      <c r="B947" s="174"/>
      <c r="C947" s="229"/>
      <c r="D947" s="229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  <c r="AA947" s="174"/>
      <c r="AB947" s="174"/>
      <c r="AC947" s="174"/>
      <c r="AD947" s="174"/>
    </row>
    <row r="948" spans="1:30" ht="15.75" customHeight="1" x14ac:dyDescent="0.2">
      <c r="A948" s="174"/>
      <c r="B948" s="174"/>
      <c r="C948" s="229"/>
      <c r="D948" s="229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  <c r="AA948" s="174"/>
      <c r="AB948" s="174"/>
      <c r="AC948" s="174"/>
      <c r="AD948" s="174"/>
    </row>
    <row r="949" spans="1:30" ht="15.75" customHeight="1" x14ac:dyDescent="0.2">
      <c r="A949" s="174"/>
      <c r="B949" s="174"/>
      <c r="C949" s="229"/>
      <c r="D949" s="229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  <c r="AA949" s="174"/>
      <c r="AB949" s="174"/>
      <c r="AC949" s="174"/>
      <c r="AD949" s="174"/>
    </row>
    <row r="950" spans="1:30" ht="15.75" customHeight="1" x14ac:dyDescent="0.2">
      <c r="A950" s="174"/>
      <c r="B950" s="174"/>
      <c r="C950" s="229"/>
      <c r="D950" s="229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  <c r="AA950" s="174"/>
      <c r="AB950" s="174"/>
      <c r="AC950" s="174"/>
      <c r="AD950" s="174"/>
    </row>
    <row r="951" spans="1:30" ht="15.75" customHeight="1" x14ac:dyDescent="0.2">
      <c r="A951" s="174"/>
      <c r="B951" s="174"/>
      <c r="C951" s="229"/>
      <c r="D951" s="229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  <c r="AA951" s="174"/>
      <c r="AB951" s="174"/>
      <c r="AC951" s="174"/>
      <c r="AD951" s="174"/>
    </row>
    <row r="952" spans="1:30" ht="15.75" customHeight="1" x14ac:dyDescent="0.2">
      <c r="A952" s="174"/>
      <c r="B952" s="174"/>
      <c r="C952" s="229"/>
      <c r="D952" s="229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  <c r="AA952" s="174"/>
      <c r="AB952" s="174"/>
      <c r="AC952" s="174"/>
      <c r="AD952" s="174"/>
    </row>
    <row r="953" spans="1:30" ht="15.75" customHeight="1" x14ac:dyDescent="0.2">
      <c r="A953" s="174"/>
      <c r="B953" s="174"/>
      <c r="C953" s="229"/>
      <c r="D953" s="229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  <c r="AA953" s="174"/>
      <c r="AB953" s="174"/>
      <c r="AC953" s="174"/>
      <c r="AD953" s="174"/>
    </row>
    <row r="954" spans="1:30" ht="15.75" customHeight="1" x14ac:dyDescent="0.2">
      <c r="A954" s="174"/>
      <c r="B954" s="174"/>
      <c r="C954" s="229"/>
      <c r="D954" s="229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  <c r="AA954" s="174"/>
      <c r="AB954" s="174"/>
      <c r="AC954" s="174"/>
      <c r="AD954" s="174"/>
    </row>
    <row r="955" spans="1:30" ht="15.75" customHeight="1" x14ac:dyDescent="0.2">
      <c r="A955" s="174"/>
      <c r="B955" s="174"/>
      <c r="C955" s="229"/>
      <c r="D955" s="229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  <c r="AA955" s="174"/>
      <c r="AB955" s="174"/>
      <c r="AC955" s="174"/>
      <c r="AD955" s="174"/>
    </row>
    <row r="956" spans="1:30" ht="15.75" customHeight="1" x14ac:dyDescent="0.2">
      <c r="A956" s="174"/>
      <c r="B956" s="174"/>
      <c r="C956" s="229"/>
      <c r="D956" s="229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  <c r="AA956" s="174"/>
      <c r="AB956" s="174"/>
      <c r="AC956" s="174"/>
      <c r="AD956" s="174"/>
    </row>
    <row r="957" spans="1:30" ht="15.75" customHeight="1" x14ac:dyDescent="0.2">
      <c r="A957" s="174"/>
      <c r="B957" s="174"/>
      <c r="C957" s="229"/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  <c r="AA957" s="174"/>
      <c r="AB957" s="174"/>
      <c r="AC957" s="174"/>
      <c r="AD957" s="174"/>
    </row>
    <row r="958" spans="1:30" ht="15.75" customHeight="1" x14ac:dyDescent="0.2">
      <c r="A958" s="174"/>
      <c r="B958" s="174"/>
      <c r="C958" s="229"/>
      <c r="D958" s="229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  <c r="AA958" s="174"/>
      <c r="AB958" s="174"/>
      <c r="AC958" s="174"/>
      <c r="AD958" s="174"/>
    </row>
    <row r="959" spans="1:30" ht="15.75" customHeight="1" x14ac:dyDescent="0.2">
      <c r="A959" s="174"/>
      <c r="B959" s="174"/>
      <c r="C959" s="229"/>
      <c r="D959" s="229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  <c r="AA959" s="174"/>
      <c r="AB959" s="174"/>
      <c r="AC959" s="174"/>
      <c r="AD959" s="174"/>
    </row>
    <row r="960" spans="1:30" ht="15.75" customHeight="1" x14ac:dyDescent="0.2">
      <c r="A960" s="174"/>
      <c r="B960" s="174"/>
      <c r="C960" s="229"/>
      <c r="D960" s="229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  <c r="AA960" s="174"/>
      <c r="AB960" s="174"/>
      <c r="AC960" s="174"/>
      <c r="AD960" s="174"/>
    </row>
    <row r="961" spans="1:30" ht="15.75" customHeight="1" x14ac:dyDescent="0.2">
      <c r="A961" s="174"/>
      <c r="B961" s="174"/>
      <c r="C961" s="229"/>
      <c r="D961" s="229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</row>
    <row r="962" spans="1:30" ht="15.75" customHeight="1" x14ac:dyDescent="0.2">
      <c r="A962" s="174"/>
      <c r="B962" s="174"/>
      <c r="C962" s="229"/>
      <c r="D962" s="229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  <c r="AA962" s="174"/>
      <c r="AB962" s="174"/>
      <c r="AC962" s="174"/>
      <c r="AD962" s="174"/>
    </row>
    <row r="963" spans="1:30" ht="15.75" customHeight="1" x14ac:dyDescent="0.2">
      <c r="A963" s="174"/>
      <c r="B963" s="174"/>
      <c r="C963" s="229"/>
      <c r="D963" s="229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</row>
    <row r="964" spans="1:30" ht="15.75" customHeight="1" x14ac:dyDescent="0.2">
      <c r="A964" s="174"/>
      <c r="B964" s="174"/>
      <c r="C964" s="229"/>
      <c r="D964" s="229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  <c r="AA964" s="174"/>
      <c r="AB964" s="174"/>
      <c r="AC964" s="174"/>
      <c r="AD964" s="174"/>
    </row>
    <row r="965" spans="1:30" ht="15.75" customHeight="1" x14ac:dyDescent="0.2">
      <c r="A965" s="174"/>
      <c r="B965" s="174"/>
      <c r="C965" s="229"/>
      <c r="D965" s="229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  <c r="AA965" s="174"/>
      <c r="AB965" s="174"/>
      <c r="AC965" s="174"/>
      <c r="AD965" s="174"/>
    </row>
    <row r="966" spans="1:30" ht="15.75" customHeight="1" x14ac:dyDescent="0.2">
      <c r="A966" s="174"/>
      <c r="B966" s="174"/>
      <c r="C966" s="229"/>
      <c r="D966" s="229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  <c r="AA966" s="174"/>
      <c r="AB966" s="174"/>
      <c r="AC966" s="174"/>
      <c r="AD966" s="174"/>
    </row>
    <row r="967" spans="1:30" ht="15.75" customHeight="1" x14ac:dyDescent="0.2">
      <c r="A967" s="174"/>
      <c r="B967" s="174"/>
      <c r="C967" s="229"/>
      <c r="D967" s="229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  <c r="AA967" s="174"/>
      <c r="AB967" s="174"/>
      <c r="AC967" s="174"/>
      <c r="AD967" s="174"/>
    </row>
    <row r="968" spans="1:30" ht="15.75" customHeight="1" x14ac:dyDescent="0.2">
      <c r="A968" s="174"/>
      <c r="B968" s="174"/>
      <c r="C968" s="229"/>
      <c r="D968" s="229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  <c r="AA968" s="174"/>
      <c r="AB968" s="174"/>
      <c r="AC968" s="174"/>
      <c r="AD968" s="174"/>
    </row>
    <row r="969" spans="1:30" ht="15.75" customHeight="1" x14ac:dyDescent="0.2">
      <c r="A969" s="174"/>
      <c r="B969" s="174"/>
      <c r="C969" s="229"/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  <c r="AA969" s="174"/>
      <c r="AB969" s="174"/>
      <c r="AC969" s="174"/>
      <c r="AD969" s="174"/>
    </row>
    <row r="970" spans="1:30" ht="15.75" customHeight="1" x14ac:dyDescent="0.2">
      <c r="A970" s="174"/>
      <c r="B970" s="174"/>
      <c r="C970" s="229"/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  <c r="AA970" s="174"/>
      <c r="AB970" s="174"/>
      <c r="AC970" s="174"/>
      <c r="AD970" s="174"/>
    </row>
    <row r="971" spans="1:30" ht="15.75" customHeight="1" x14ac:dyDescent="0.2">
      <c r="A971" s="174"/>
      <c r="B971" s="174"/>
      <c r="C971" s="229"/>
      <c r="D971" s="229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  <c r="AA971" s="174"/>
      <c r="AB971" s="174"/>
      <c r="AC971" s="174"/>
      <c r="AD971" s="174"/>
    </row>
    <row r="972" spans="1:30" ht="15.75" customHeight="1" x14ac:dyDescent="0.2">
      <c r="A972" s="174"/>
      <c r="B972" s="174"/>
      <c r="C972" s="229"/>
      <c r="D972" s="229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  <c r="AA972" s="174"/>
      <c r="AB972" s="174"/>
      <c r="AC972" s="174"/>
      <c r="AD972" s="174"/>
    </row>
    <row r="973" spans="1:30" ht="15.75" customHeight="1" x14ac:dyDescent="0.2">
      <c r="A973" s="174"/>
      <c r="B973" s="174"/>
      <c r="C973" s="229"/>
      <c r="D973" s="229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  <c r="AA973" s="174"/>
      <c r="AB973" s="174"/>
      <c r="AC973" s="174"/>
      <c r="AD973" s="174"/>
    </row>
    <row r="974" spans="1:30" ht="15.75" customHeight="1" x14ac:dyDescent="0.2">
      <c r="A974" s="174"/>
      <c r="B974" s="174"/>
      <c r="C974" s="229"/>
      <c r="D974" s="229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  <c r="AA974" s="174"/>
      <c r="AB974" s="174"/>
      <c r="AC974" s="174"/>
      <c r="AD974" s="174"/>
    </row>
    <row r="975" spans="1:30" ht="15.75" customHeight="1" x14ac:dyDescent="0.2">
      <c r="A975" s="174"/>
      <c r="B975" s="174"/>
      <c r="C975" s="229"/>
      <c r="D975" s="229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  <c r="AA975" s="174"/>
      <c r="AB975" s="174"/>
      <c r="AC975" s="174"/>
      <c r="AD975" s="174"/>
    </row>
    <row r="976" spans="1:30" ht="15.75" customHeight="1" x14ac:dyDescent="0.2">
      <c r="A976" s="174"/>
      <c r="B976" s="174"/>
      <c r="C976" s="229"/>
      <c r="D976" s="229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  <c r="AA976" s="174"/>
      <c r="AB976" s="174"/>
      <c r="AC976" s="174"/>
      <c r="AD976" s="174"/>
    </row>
    <row r="977" spans="1:30" ht="15.75" customHeight="1" x14ac:dyDescent="0.2">
      <c r="A977" s="174"/>
      <c r="B977" s="174"/>
      <c r="C977" s="229"/>
      <c r="D977" s="229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  <c r="AA977" s="174"/>
      <c r="AB977" s="174"/>
      <c r="AC977" s="174"/>
      <c r="AD977" s="174"/>
    </row>
    <row r="978" spans="1:30" ht="15.75" customHeight="1" x14ac:dyDescent="0.2">
      <c r="A978" s="174"/>
      <c r="B978" s="174"/>
      <c r="C978" s="229"/>
      <c r="D978" s="229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  <c r="AA978" s="174"/>
      <c r="AB978" s="174"/>
      <c r="AC978" s="174"/>
      <c r="AD978" s="174"/>
    </row>
    <row r="979" spans="1:30" ht="15.75" customHeight="1" x14ac:dyDescent="0.2">
      <c r="A979" s="174"/>
      <c r="B979" s="174"/>
      <c r="C979" s="229"/>
      <c r="D979" s="229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  <c r="AA979" s="174"/>
      <c r="AB979" s="174"/>
      <c r="AC979" s="174"/>
      <c r="AD979" s="174"/>
    </row>
    <row r="980" spans="1:30" ht="15.75" customHeight="1" x14ac:dyDescent="0.2">
      <c r="A980" s="174"/>
      <c r="B980" s="174"/>
      <c r="C980" s="229"/>
      <c r="D980" s="229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</row>
    <row r="981" spans="1:30" ht="15.75" customHeight="1" x14ac:dyDescent="0.2">
      <c r="A981" s="174"/>
      <c r="B981" s="174"/>
      <c r="C981" s="229"/>
      <c r="D981" s="229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  <c r="AA981" s="174"/>
      <c r="AB981" s="174"/>
      <c r="AC981" s="174"/>
      <c r="AD981" s="174"/>
    </row>
    <row r="982" spans="1:30" ht="15.75" customHeight="1" x14ac:dyDescent="0.2">
      <c r="A982" s="174"/>
      <c r="B982" s="174"/>
      <c r="C982" s="229"/>
      <c r="D982" s="229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  <c r="AA982" s="174"/>
      <c r="AB982" s="174"/>
      <c r="AC982" s="174"/>
      <c r="AD982" s="174"/>
    </row>
    <row r="983" spans="1:30" ht="15.75" customHeight="1" x14ac:dyDescent="0.2">
      <c r="A983" s="174"/>
      <c r="B983" s="174"/>
      <c r="C983" s="229"/>
      <c r="D983" s="229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  <c r="AC983" s="174"/>
      <c r="AD983" s="174"/>
    </row>
    <row r="984" spans="1:30" ht="15.75" customHeight="1" x14ac:dyDescent="0.2">
      <c r="A984" s="174"/>
      <c r="B984" s="174"/>
      <c r="C984" s="229"/>
      <c r="D984" s="229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  <c r="AA984" s="174"/>
      <c r="AB984" s="174"/>
      <c r="AC984" s="174"/>
      <c r="AD984" s="174"/>
    </row>
    <row r="985" spans="1:30" ht="15.75" customHeight="1" x14ac:dyDescent="0.2">
      <c r="A985" s="174"/>
      <c r="B985" s="174"/>
      <c r="C985" s="229"/>
      <c r="D985" s="229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  <c r="AA985" s="174"/>
      <c r="AB985" s="174"/>
      <c r="AC985" s="174"/>
      <c r="AD985" s="174"/>
    </row>
    <row r="986" spans="1:30" ht="15.75" customHeight="1" x14ac:dyDescent="0.2">
      <c r="A986" s="174"/>
      <c r="B986" s="174"/>
      <c r="C986" s="229"/>
      <c r="D986" s="229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  <c r="AA986" s="174"/>
      <c r="AB986" s="174"/>
      <c r="AC986" s="174"/>
      <c r="AD986" s="174"/>
    </row>
    <row r="987" spans="1:30" ht="15.75" customHeight="1" x14ac:dyDescent="0.2">
      <c r="A987" s="174"/>
      <c r="B987" s="174"/>
      <c r="C987" s="229"/>
      <c r="D987" s="229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  <c r="AA987" s="174"/>
      <c r="AB987" s="174"/>
      <c r="AC987" s="174"/>
      <c r="AD987" s="174"/>
    </row>
    <row r="988" spans="1:30" ht="15.75" customHeight="1" x14ac:dyDescent="0.2">
      <c r="A988" s="174"/>
      <c r="B988" s="174"/>
      <c r="C988" s="229"/>
      <c r="D988" s="229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  <c r="AA988" s="174"/>
      <c r="AB988" s="174"/>
      <c r="AC988" s="174"/>
      <c r="AD988" s="174"/>
    </row>
    <row r="989" spans="1:30" ht="15.75" customHeight="1" x14ac:dyDescent="0.2">
      <c r="A989" s="174"/>
      <c r="B989" s="174"/>
      <c r="C989" s="229"/>
      <c r="D989" s="229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  <c r="AA989" s="174"/>
      <c r="AB989" s="174"/>
      <c r="AC989" s="174"/>
      <c r="AD989" s="174"/>
    </row>
    <row r="990" spans="1:30" ht="15.75" customHeight="1" x14ac:dyDescent="0.2">
      <c r="A990" s="174"/>
      <c r="B990" s="174"/>
      <c r="C990" s="229"/>
      <c r="D990" s="229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  <c r="AA990" s="174"/>
      <c r="AB990" s="174"/>
      <c r="AC990" s="174"/>
      <c r="AD990" s="174"/>
    </row>
    <row r="991" spans="1:30" ht="15.75" customHeight="1" x14ac:dyDescent="0.2">
      <c r="A991" s="174"/>
      <c r="B991" s="174"/>
      <c r="C991" s="229"/>
      <c r="D991" s="229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  <c r="AA991" s="174"/>
      <c r="AB991" s="174"/>
      <c r="AC991" s="174"/>
      <c r="AD991" s="174"/>
    </row>
    <row r="992" spans="1:30" ht="15.75" customHeight="1" x14ac:dyDescent="0.2">
      <c r="A992" s="174"/>
      <c r="B992" s="174"/>
      <c r="C992" s="229"/>
      <c r="D992" s="229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  <c r="AA992" s="174"/>
      <c r="AB992" s="174"/>
      <c r="AC992" s="174"/>
      <c r="AD992" s="174"/>
    </row>
    <row r="993" spans="1:30" ht="15.75" customHeight="1" x14ac:dyDescent="0.2">
      <c r="A993" s="174"/>
      <c r="B993" s="174"/>
      <c r="C993" s="229"/>
      <c r="D993" s="229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  <c r="AA993" s="174"/>
      <c r="AB993" s="174"/>
      <c r="AC993" s="174"/>
      <c r="AD993" s="174"/>
    </row>
    <row r="994" spans="1:30" ht="15.75" customHeight="1" x14ac:dyDescent="0.2">
      <c r="A994" s="174"/>
      <c r="B994" s="174"/>
      <c r="C994" s="229"/>
      <c r="D994" s="229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  <c r="AA994" s="174"/>
      <c r="AB994" s="174"/>
      <c r="AC994" s="174"/>
      <c r="AD994" s="174"/>
    </row>
    <row r="995" spans="1:30" ht="15.75" customHeight="1" x14ac:dyDescent="0.2">
      <c r="A995" s="174"/>
      <c r="B995" s="174"/>
      <c r="C995" s="229"/>
      <c r="D995" s="229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  <c r="AA995" s="174"/>
      <c r="AB995" s="174"/>
      <c r="AC995" s="174"/>
      <c r="AD995" s="174"/>
    </row>
    <row r="996" spans="1:30" ht="15.75" customHeight="1" x14ac:dyDescent="0.2">
      <c r="A996" s="174"/>
      <c r="B996" s="174"/>
      <c r="C996" s="229"/>
      <c r="D996" s="229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  <c r="AA996" s="174"/>
      <c r="AB996" s="174"/>
      <c r="AC996" s="174"/>
      <c r="AD996" s="174"/>
    </row>
    <row r="997" spans="1:30" ht="15.75" customHeight="1" x14ac:dyDescent="0.2">
      <c r="A997" s="174"/>
      <c r="B997" s="174"/>
      <c r="C997" s="229"/>
      <c r="D997" s="229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  <c r="AA997" s="174"/>
      <c r="AB997" s="174"/>
      <c r="AC997" s="174"/>
      <c r="AD997" s="174"/>
    </row>
    <row r="998" spans="1:30" ht="15.75" customHeight="1" x14ac:dyDescent="0.2">
      <c r="A998" s="174"/>
      <c r="B998" s="174"/>
      <c r="C998" s="229"/>
      <c r="D998" s="229"/>
      <c r="E998" s="229"/>
      <c r="F998" s="229"/>
      <c r="G998" s="229"/>
      <c r="H998" s="229"/>
      <c r="I998" s="229"/>
      <c r="J998" s="229"/>
      <c r="K998" s="229"/>
      <c r="L998" s="229"/>
      <c r="M998" s="229"/>
      <c r="N998" s="229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  <c r="AA998" s="174"/>
      <c r="AB998" s="174"/>
      <c r="AC998" s="174"/>
      <c r="AD998" s="174"/>
    </row>
    <row r="999" spans="1:30" ht="15.75" customHeight="1" x14ac:dyDescent="0.2">
      <c r="A999" s="174"/>
      <c r="B999" s="174"/>
      <c r="C999" s="229"/>
      <c r="D999" s="229"/>
      <c r="E999" s="229"/>
      <c r="F999" s="229"/>
      <c r="G999" s="229"/>
      <c r="H999" s="229"/>
      <c r="I999" s="229"/>
      <c r="J999" s="229"/>
      <c r="K999" s="229"/>
      <c r="L999" s="229"/>
      <c r="M999" s="229"/>
      <c r="N999" s="229"/>
      <c r="O999" s="174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  <c r="AA999" s="174"/>
      <c r="AB999" s="174"/>
      <c r="AC999" s="174"/>
      <c r="AD999" s="174"/>
    </row>
    <row r="1000" spans="1:30" ht="15.75" customHeight="1" x14ac:dyDescent="0.2">
      <c r="A1000" s="174"/>
      <c r="B1000" s="174"/>
      <c r="C1000" s="229"/>
      <c r="D1000" s="229"/>
      <c r="E1000" s="229"/>
      <c r="F1000" s="229"/>
      <c r="G1000" s="229"/>
      <c r="H1000" s="229"/>
      <c r="I1000" s="229"/>
      <c r="J1000" s="229"/>
      <c r="K1000" s="229"/>
      <c r="L1000" s="229"/>
      <c r="M1000" s="229"/>
      <c r="N1000" s="229"/>
      <c r="O1000" s="174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  <c r="AA1000" s="174"/>
      <c r="AB1000" s="174"/>
      <c r="AC1000" s="174"/>
      <c r="AD1000" s="174"/>
    </row>
    <row r="1001" spans="1:30" ht="15.75" customHeight="1" x14ac:dyDescent="0.2">
      <c r="A1001" s="174"/>
      <c r="B1001" s="174"/>
      <c r="C1001" s="229"/>
      <c r="D1001" s="229"/>
      <c r="E1001" s="229"/>
      <c r="F1001" s="229"/>
      <c r="G1001" s="229"/>
      <c r="H1001" s="229"/>
      <c r="I1001" s="229"/>
      <c r="J1001" s="229"/>
      <c r="K1001" s="229"/>
      <c r="L1001" s="229"/>
      <c r="M1001" s="229"/>
      <c r="N1001" s="229"/>
      <c r="O1001" s="174"/>
      <c r="P1001" s="174"/>
      <c r="Q1001" s="174"/>
      <c r="X1001" s="174"/>
      <c r="Y1001" s="174"/>
      <c r="Z1001" s="174"/>
      <c r="AA1001" s="174"/>
      <c r="AB1001" s="174"/>
      <c r="AC1001" s="174"/>
      <c r="AD1001" s="1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322"/>
  <sheetViews>
    <sheetView zoomScale="90" zoomScaleNormal="90" workbookViewId="0">
      <pane ySplit="5" topLeftCell="A275" activePane="bottomLeft" state="frozen"/>
      <selection pane="bottomLeft" sqref="A1:XFD1048576"/>
    </sheetView>
  </sheetViews>
  <sheetFormatPr defaultRowHeight="12.75" x14ac:dyDescent="0.2"/>
  <cols>
    <col min="1" max="1" width="5.85546875" style="264" customWidth="1"/>
    <col min="2" max="2" width="47.7109375" style="264" customWidth="1"/>
    <col min="3" max="3" width="14.85546875" style="264" customWidth="1"/>
    <col min="4" max="5" width="17" style="264" customWidth="1"/>
    <col min="6" max="16384" width="9.140625" style="264"/>
  </cols>
  <sheetData>
    <row r="2" spans="1:25" ht="15" x14ac:dyDescent="0.25">
      <c r="A2" s="281" t="s">
        <v>410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1:25" ht="15" x14ac:dyDescent="0.25">
      <c r="A3" s="281" t="s">
        <v>208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</row>
    <row r="4" spans="1:25" ht="15" x14ac:dyDescent="0.25">
      <c r="A4" s="281" t="s">
        <v>411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</row>
    <row r="5" spans="1:25" ht="15" x14ac:dyDescent="0.25">
      <c r="A5" s="265" t="s">
        <v>146</v>
      </c>
      <c r="B5" s="265" t="s">
        <v>74</v>
      </c>
      <c r="C5" s="266" t="s">
        <v>147</v>
      </c>
      <c r="D5" s="266" t="s">
        <v>148</v>
      </c>
      <c r="E5" s="266" t="s">
        <v>149</v>
      </c>
    </row>
    <row r="6" spans="1:25" ht="15" x14ac:dyDescent="0.25">
      <c r="A6" s="264" t="s">
        <v>220</v>
      </c>
      <c r="B6" s="265" t="s">
        <v>84</v>
      </c>
      <c r="C6" s="264" t="s">
        <v>222</v>
      </c>
      <c r="D6" s="264" t="s">
        <v>220</v>
      </c>
      <c r="E6" s="264" t="s">
        <v>220</v>
      </c>
    </row>
    <row r="7" spans="1:25" x14ac:dyDescent="0.2">
      <c r="A7" s="264" t="s">
        <v>220</v>
      </c>
      <c r="B7" s="264" t="s">
        <v>222</v>
      </c>
      <c r="C7" s="264" t="s">
        <v>222</v>
      </c>
      <c r="D7" s="264" t="s">
        <v>220</v>
      </c>
      <c r="E7" s="264" t="s">
        <v>220</v>
      </c>
    </row>
    <row r="8" spans="1:25" ht="15" x14ac:dyDescent="0.25">
      <c r="A8" s="264" t="s">
        <v>220</v>
      </c>
      <c r="B8" s="265" t="s">
        <v>142</v>
      </c>
      <c r="C8" s="264" t="s">
        <v>222</v>
      </c>
      <c r="D8" s="264" t="s">
        <v>220</v>
      </c>
      <c r="E8" s="264" t="s">
        <v>220</v>
      </c>
    </row>
    <row r="9" spans="1:25" x14ac:dyDescent="0.2">
      <c r="A9" s="264">
        <v>1010</v>
      </c>
      <c r="B9" s="264" t="s">
        <v>73</v>
      </c>
      <c r="C9" s="86">
        <v>-747144</v>
      </c>
      <c r="D9" s="86">
        <v>-747144</v>
      </c>
      <c r="E9" s="86">
        <f>D9-C9</f>
        <v>0</v>
      </c>
    </row>
    <row r="10" spans="1:25" x14ac:dyDescent="0.2">
      <c r="A10" s="264">
        <v>1020</v>
      </c>
      <c r="B10" s="264" t="s">
        <v>266</v>
      </c>
      <c r="C10" s="86">
        <v>0</v>
      </c>
      <c r="D10" s="86">
        <v>0</v>
      </c>
      <c r="E10" s="86">
        <f>D10-C10</f>
        <v>0</v>
      </c>
    </row>
    <row r="11" spans="1:25" x14ac:dyDescent="0.2">
      <c r="A11" s="264">
        <v>1030</v>
      </c>
      <c r="B11" s="264" t="s">
        <v>219</v>
      </c>
      <c r="C11" s="86">
        <v>-1000</v>
      </c>
      <c r="D11" s="86">
        <v>-1200</v>
      </c>
      <c r="E11" s="86">
        <f>D11-C11</f>
        <v>-200</v>
      </c>
    </row>
    <row r="12" spans="1:25" x14ac:dyDescent="0.2">
      <c r="A12" s="264">
        <v>1040</v>
      </c>
      <c r="B12" s="264" t="s">
        <v>6</v>
      </c>
      <c r="C12" s="86">
        <v>0</v>
      </c>
      <c r="D12" s="86">
        <v>0</v>
      </c>
      <c r="E12" s="86">
        <f>D12-C12</f>
        <v>0</v>
      </c>
    </row>
    <row r="13" spans="1:25" ht="15" x14ac:dyDescent="0.25">
      <c r="A13" s="264" t="s">
        <v>220</v>
      </c>
      <c r="B13" s="265" t="s">
        <v>85</v>
      </c>
      <c r="C13" s="267">
        <f>SUM(C9:C12)</f>
        <v>-748144</v>
      </c>
      <c r="D13" s="267">
        <f>SUM(D9:D12)</f>
        <v>-748344</v>
      </c>
      <c r="E13" s="267">
        <f>D13-C13</f>
        <v>-200</v>
      </c>
    </row>
    <row r="14" spans="1:25" x14ac:dyDescent="0.2">
      <c r="A14" s="264" t="s">
        <v>220</v>
      </c>
      <c r="B14" s="264" t="s">
        <v>222</v>
      </c>
      <c r="C14" s="264" t="s">
        <v>222</v>
      </c>
      <c r="D14" s="264" t="s">
        <v>220</v>
      </c>
      <c r="E14" s="264" t="s">
        <v>220</v>
      </c>
    </row>
    <row r="15" spans="1:25" ht="15" x14ac:dyDescent="0.25">
      <c r="A15" s="264" t="s">
        <v>220</v>
      </c>
      <c r="B15" s="265" t="s">
        <v>297</v>
      </c>
      <c r="C15" s="264" t="s">
        <v>222</v>
      </c>
      <c r="D15" s="264" t="s">
        <v>220</v>
      </c>
      <c r="E15" s="264" t="s">
        <v>220</v>
      </c>
    </row>
    <row r="16" spans="1:25" x14ac:dyDescent="0.2">
      <c r="A16" s="264" t="s">
        <v>220</v>
      </c>
      <c r="B16" s="264" t="s">
        <v>222</v>
      </c>
      <c r="C16" s="264" t="s">
        <v>222</v>
      </c>
      <c r="D16" s="264" t="s">
        <v>220</v>
      </c>
      <c r="E16" s="264" t="s">
        <v>220</v>
      </c>
    </row>
    <row r="17" spans="1:5" ht="15" x14ac:dyDescent="0.25">
      <c r="A17" s="264" t="s">
        <v>220</v>
      </c>
      <c r="B17" s="265" t="s">
        <v>87</v>
      </c>
      <c r="C17" s="264" t="s">
        <v>222</v>
      </c>
      <c r="D17" s="264" t="s">
        <v>220</v>
      </c>
      <c r="E17" s="264" t="s">
        <v>220</v>
      </c>
    </row>
    <row r="18" spans="1:5" x14ac:dyDescent="0.2">
      <c r="A18" s="264">
        <v>1311</v>
      </c>
      <c r="B18" s="264" t="s">
        <v>212</v>
      </c>
      <c r="C18" s="86">
        <v>20000</v>
      </c>
      <c r="D18" s="86">
        <v>34427.64</v>
      </c>
      <c r="E18" s="86">
        <f t="shared" ref="E18:E25" si="0">D18-C18</f>
        <v>14427.64</v>
      </c>
    </row>
    <row r="19" spans="1:5" x14ac:dyDescent="0.2">
      <c r="A19" s="264">
        <v>1312</v>
      </c>
      <c r="B19" s="264" t="s">
        <v>248</v>
      </c>
      <c r="C19" s="86">
        <v>40000</v>
      </c>
      <c r="D19" s="86">
        <v>50536.81</v>
      </c>
      <c r="E19" s="86">
        <f t="shared" si="0"/>
        <v>10536.809999999998</v>
      </c>
    </row>
    <row r="20" spans="1:5" x14ac:dyDescent="0.2">
      <c r="A20" s="264">
        <v>1313</v>
      </c>
      <c r="B20" s="264" t="s">
        <v>183</v>
      </c>
      <c r="C20" s="86">
        <v>15000</v>
      </c>
      <c r="D20" s="86">
        <v>4879.25</v>
      </c>
      <c r="E20" s="86">
        <f t="shared" si="0"/>
        <v>-10120.75</v>
      </c>
    </row>
    <row r="21" spans="1:5" x14ac:dyDescent="0.2">
      <c r="A21" s="264">
        <v>1314</v>
      </c>
      <c r="B21" s="264" t="s">
        <v>26</v>
      </c>
      <c r="C21" s="86">
        <v>10000</v>
      </c>
      <c r="D21" s="86">
        <v>3711.45</v>
      </c>
      <c r="E21" s="86">
        <f t="shared" si="0"/>
        <v>-6288.55</v>
      </c>
    </row>
    <row r="22" spans="1:5" x14ac:dyDescent="0.2">
      <c r="A22" s="264">
        <v>1315</v>
      </c>
      <c r="B22" s="264" t="s">
        <v>25</v>
      </c>
      <c r="C22" s="86">
        <v>10000</v>
      </c>
      <c r="D22" s="86">
        <v>830.35</v>
      </c>
      <c r="E22" s="86">
        <f t="shared" si="0"/>
        <v>-9169.65</v>
      </c>
    </row>
    <row r="23" spans="1:5" x14ac:dyDescent="0.2">
      <c r="A23" s="264">
        <v>1316</v>
      </c>
      <c r="B23" s="264" t="s">
        <v>27</v>
      </c>
      <c r="C23" s="86">
        <v>30000</v>
      </c>
      <c r="D23" s="86">
        <v>57991.22</v>
      </c>
      <c r="E23" s="86">
        <f t="shared" si="0"/>
        <v>27991.22</v>
      </c>
    </row>
    <row r="24" spans="1:5" x14ac:dyDescent="0.2">
      <c r="A24" s="264">
        <v>1317</v>
      </c>
      <c r="B24" s="264" t="s">
        <v>298</v>
      </c>
      <c r="C24" s="86">
        <v>29000</v>
      </c>
      <c r="D24" s="86">
        <v>29000</v>
      </c>
      <c r="E24" s="86">
        <f t="shared" si="0"/>
        <v>0</v>
      </c>
    </row>
    <row r="25" spans="1:5" ht="15" x14ac:dyDescent="0.25">
      <c r="A25" s="264" t="s">
        <v>220</v>
      </c>
      <c r="B25" s="265" t="s">
        <v>88</v>
      </c>
      <c r="C25" s="267">
        <f>SUM(C18:C24)</f>
        <v>154000</v>
      </c>
      <c r="D25" s="267">
        <f>SUM(D18:D24)</f>
        <v>181376.72</v>
      </c>
      <c r="E25" s="267">
        <f t="shared" si="0"/>
        <v>27376.720000000001</v>
      </c>
    </row>
    <row r="26" spans="1:5" x14ac:dyDescent="0.2">
      <c r="A26" s="264" t="s">
        <v>220</v>
      </c>
      <c r="B26" s="264" t="s">
        <v>222</v>
      </c>
      <c r="C26" s="264" t="s">
        <v>222</v>
      </c>
      <c r="D26" s="264" t="s">
        <v>220</v>
      </c>
      <c r="E26" s="264" t="s">
        <v>220</v>
      </c>
    </row>
    <row r="27" spans="1:5" ht="15" x14ac:dyDescent="0.25">
      <c r="A27" s="264" t="s">
        <v>220</v>
      </c>
      <c r="B27" s="265" t="s">
        <v>89</v>
      </c>
      <c r="C27" s="264" t="s">
        <v>222</v>
      </c>
      <c r="D27" s="264" t="s">
        <v>220</v>
      </c>
      <c r="E27" s="264" t="s">
        <v>220</v>
      </c>
    </row>
    <row r="28" spans="1:5" x14ac:dyDescent="0.2">
      <c r="A28" s="264">
        <v>1321</v>
      </c>
      <c r="B28" s="264" t="s">
        <v>28</v>
      </c>
      <c r="C28" s="86">
        <v>2000</v>
      </c>
      <c r="D28" s="86">
        <v>224</v>
      </c>
      <c r="E28" s="86">
        <f t="shared" ref="E28:E36" si="1">D28-C28</f>
        <v>-1776</v>
      </c>
    </row>
    <row r="29" spans="1:5" x14ac:dyDescent="0.2">
      <c r="A29" s="264">
        <v>1322</v>
      </c>
      <c r="B29" s="264" t="s">
        <v>29</v>
      </c>
      <c r="C29" s="86">
        <v>9000</v>
      </c>
      <c r="D29" s="86">
        <v>6376.6</v>
      </c>
      <c r="E29" s="86">
        <f t="shared" si="1"/>
        <v>-2623.3999999999996</v>
      </c>
    </row>
    <row r="30" spans="1:5" x14ac:dyDescent="0.2">
      <c r="A30" s="264">
        <v>1323</v>
      </c>
      <c r="B30" s="264" t="s">
        <v>30</v>
      </c>
      <c r="C30" s="86">
        <v>2500</v>
      </c>
      <c r="D30" s="86">
        <v>0</v>
      </c>
      <c r="E30" s="86">
        <f t="shared" si="1"/>
        <v>-2500</v>
      </c>
    </row>
    <row r="31" spans="1:5" x14ac:dyDescent="0.2">
      <c r="A31" s="264">
        <v>1324</v>
      </c>
      <c r="B31" s="264" t="s">
        <v>207</v>
      </c>
      <c r="C31" s="86">
        <v>8000</v>
      </c>
      <c r="D31" s="86">
        <v>13391.28</v>
      </c>
      <c r="E31" s="86">
        <f t="shared" si="1"/>
        <v>5391.2800000000007</v>
      </c>
    </row>
    <row r="32" spans="1:5" x14ac:dyDescent="0.2">
      <c r="A32" s="264">
        <v>1325</v>
      </c>
      <c r="B32" s="264" t="s">
        <v>196</v>
      </c>
      <c r="C32" s="86">
        <v>500</v>
      </c>
      <c r="D32" s="86">
        <v>80</v>
      </c>
      <c r="E32" s="86">
        <f t="shared" si="1"/>
        <v>-420</v>
      </c>
    </row>
    <row r="33" spans="1:5" x14ac:dyDescent="0.2">
      <c r="A33" s="264">
        <v>1326</v>
      </c>
      <c r="B33" s="264" t="s">
        <v>31</v>
      </c>
      <c r="C33" s="86">
        <v>4000</v>
      </c>
      <c r="D33" s="86">
        <v>142.5</v>
      </c>
      <c r="E33" s="86">
        <f t="shared" si="1"/>
        <v>-3857.5</v>
      </c>
    </row>
    <row r="34" spans="1:5" x14ac:dyDescent="0.2">
      <c r="A34" s="264">
        <v>1327</v>
      </c>
      <c r="B34" s="264" t="s">
        <v>195</v>
      </c>
      <c r="C34" s="86">
        <v>0</v>
      </c>
      <c r="D34" s="86">
        <v>1958.21</v>
      </c>
      <c r="E34" s="86">
        <f t="shared" si="1"/>
        <v>1958.21</v>
      </c>
    </row>
    <row r="35" spans="1:5" x14ac:dyDescent="0.2">
      <c r="A35" s="264">
        <v>1328</v>
      </c>
      <c r="B35" s="264" t="s">
        <v>266</v>
      </c>
      <c r="C35" s="86">
        <v>0</v>
      </c>
      <c r="D35" s="86">
        <v>0</v>
      </c>
      <c r="E35" s="86">
        <f t="shared" si="1"/>
        <v>0</v>
      </c>
    </row>
    <row r="36" spans="1:5" ht="15" x14ac:dyDescent="0.25">
      <c r="A36" s="264" t="s">
        <v>220</v>
      </c>
      <c r="B36" s="265" t="s">
        <v>90</v>
      </c>
      <c r="C36" s="267">
        <f>SUM(C28:C35)</f>
        <v>26000</v>
      </c>
      <c r="D36" s="267">
        <f>SUM(D28:D35)</f>
        <v>22172.59</v>
      </c>
      <c r="E36" s="267">
        <f t="shared" si="1"/>
        <v>-3827.41</v>
      </c>
    </row>
    <row r="37" spans="1:5" x14ac:dyDescent="0.2">
      <c r="A37" s="264" t="s">
        <v>220</v>
      </c>
      <c r="B37" s="264" t="s">
        <v>222</v>
      </c>
      <c r="C37" s="264" t="s">
        <v>222</v>
      </c>
      <c r="D37" s="264" t="s">
        <v>220</v>
      </c>
      <c r="E37" s="264" t="s">
        <v>220</v>
      </c>
    </row>
    <row r="38" spans="1:5" ht="15" x14ac:dyDescent="0.25">
      <c r="A38" s="264" t="s">
        <v>220</v>
      </c>
      <c r="B38" s="265" t="s">
        <v>91</v>
      </c>
      <c r="C38" s="264" t="s">
        <v>222</v>
      </c>
      <c r="D38" s="264" t="s">
        <v>220</v>
      </c>
      <c r="E38" s="264" t="s">
        <v>220</v>
      </c>
    </row>
    <row r="39" spans="1:5" x14ac:dyDescent="0.2">
      <c r="A39" s="264">
        <v>1331</v>
      </c>
      <c r="B39" s="264" t="s">
        <v>32</v>
      </c>
      <c r="C39" s="86">
        <v>5000</v>
      </c>
      <c r="D39" s="86">
        <v>1000</v>
      </c>
      <c r="E39" s="86">
        <f t="shared" ref="E39:E49" si="2">D39-C39</f>
        <v>-4000</v>
      </c>
    </row>
    <row r="40" spans="1:5" x14ac:dyDescent="0.2">
      <c r="A40" s="264">
        <v>1332</v>
      </c>
      <c r="B40" s="264" t="s">
        <v>192</v>
      </c>
      <c r="C40" s="86">
        <v>12000</v>
      </c>
      <c r="D40" s="86">
        <v>11472.21</v>
      </c>
      <c r="E40" s="86">
        <f t="shared" si="2"/>
        <v>-527.79000000000087</v>
      </c>
    </row>
    <row r="41" spans="1:5" x14ac:dyDescent="0.2">
      <c r="A41" s="264">
        <v>1333</v>
      </c>
      <c r="B41" s="264" t="s">
        <v>33</v>
      </c>
      <c r="C41" s="86">
        <v>12000</v>
      </c>
      <c r="D41" s="86">
        <v>13331.63</v>
      </c>
      <c r="E41" s="86">
        <f t="shared" si="2"/>
        <v>1331.6299999999992</v>
      </c>
    </row>
    <row r="42" spans="1:5" x14ac:dyDescent="0.2">
      <c r="A42" s="264">
        <v>1334</v>
      </c>
      <c r="B42" s="264" t="s">
        <v>34</v>
      </c>
      <c r="C42" s="86">
        <v>1000</v>
      </c>
      <c r="D42" s="86">
        <v>1025.25</v>
      </c>
      <c r="E42" s="86">
        <f t="shared" si="2"/>
        <v>25.25</v>
      </c>
    </row>
    <row r="43" spans="1:5" x14ac:dyDescent="0.2">
      <c r="A43" s="264">
        <v>1335</v>
      </c>
      <c r="B43" s="264" t="s">
        <v>35</v>
      </c>
      <c r="C43" s="86">
        <v>2500</v>
      </c>
      <c r="D43" s="86">
        <v>3808.1</v>
      </c>
      <c r="E43" s="86">
        <f t="shared" si="2"/>
        <v>1308.0999999999999</v>
      </c>
    </row>
    <row r="44" spans="1:5" x14ac:dyDescent="0.2">
      <c r="A44" s="264">
        <v>1336</v>
      </c>
      <c r="B44" s="264" t="s">
        <v>36</v>
      </c>
      <c r="C44" s="86">
        <v>2350</v>
      </c>
      <c r="D44" s="86">
        <v>2347.7800000000002</v>
      </c>
      <c r="E44" s="86">
        <f t="shared" si="2"/>
        <v>-2.2199999999997999</v>
      </c>
    </row>
    <row r="45" spans="1:5" x14ac:dyDescent="0.2">
      <c r="A45" s="264">
        <v>1337</v>
      </c>
      <c r="B45" s="264" t="s">
        <v>320</v>
      </c>
      <c r="C45" s="86">
        <v>3500</v>
      </c>
      <c r="D45" s="86">
        <v>839.9</v>
      </c>
      <c r="E45" s="86">
        <f t="shared" si="2"/>
        <v>-2660.1</v>
      </c>
    </row>
    <row r="46" spans="1:5" x14ac:dyDescent="0.2">
      <c r="A46" s="264">
        <v>1338</v>
      </c>
      <c r="B46" s="264" t="s">
        <v>37</v>
      </c>
      <c r="C46" s="86">
        <v>20000</v>
      </c>
      <c r="D46" s="86">
        <v>10244.950000000001</v>
      </c>
      <c r="E46" s="86">
        <f t="shared" si="2"/>
        <v>-9755.0499999999993</v>
      </c>
    </row>
    <row r="47" spans="1:5" x14ac:dyDescent="0.2">
      <c r="A47" s="264">
        <v>1339</v>
      </c>
      <c r="B47" s="264" t="s">
        <v>38</v>
      </c>
      <c r="C47" s="86">
        <v>1000</v>
      </c>
      <c r="D47" s="86">
        <v>868</v>
      </c>
      <c r="E47" s="86">
        <f t="shared" si="2"/>
        <v>-132</v>
      </c>
    </row>
    <row r="48" spans="1:5" x14ac:dyDescent="0.2">
      <c r="A48" s="264">
        <v>1340</v>
      </c>
      <c r="B48" s="264" t="s">
        <v>322</v>
      </c>
      <c r="C48" s="86">
        <v>2000</v>
      </c>
      <c r="D48" s="86">
        <v>277.85000000000002</v>
      </c>
      <c r="E48" s="86">
        <f t="shared" si="2"/>
        <v>-1722.15</v>
      </c>
    </row>
    <row r="49" spans="1:5" ht="15" x14ac:dyDescent="0.25">
      <c r="A49" s="264" t="s">
        <v>220</v>
      </c>
      <c r="B49" s="265" t="s">
        <v>150</v>
      </c>
      <c r="C49" s="267">
        <f>SUM(C39:C48)</f>
        <v>61350</v>
      </c>
      <c r="D49" s="267">
        <f>SUM(D39:D48)</f>
        <v>45215.669999999991</v>
      </c>
      <c r="E49" s="267">
        <f t="shared" si="2"/>
        <v>-16134.330000000009</v>
      </c>
    </row>
    <row r="50" spans="1:5" x14ac:dyDescent="0.2">
      <c r="A50" s="264" t="s">
        <v>220</v>
      </c>
      <c r="B50" s="264" t="s">
        <v>222</v>
      </c>
      <c r="C50" s="264" t="s">
        <v>222</v>
      </c>
      <c r="D50" s="264" t="s">
        <v>220</v>
      </c>
      <c r="E50" s="264" t="s">
        <v>220</v>
      </c>
    </row>
    <row r="51" spans="1:5" ht="15" x14ac:dyDescent="0.25">
      <c r="A51" s="264" t="s">
        <v>220</v>
      </c>
      <c r="B51" s="265" t="s">
        <v>92</v>
      </c>
      <c r="C51" s="264" t="s">
        <v>222</v>
      </c>
      <c r="D51" s="264" t="s">
        <v>220</v>
      </c>
      <c r="E51" s="264" t="s">
        <v>220</v>
      </c>
    </row>
    <row r="52" spans="1:5" x14ac:dyDescent="0.2">
      <c r="A52" s="264">
        <v>1351</v>
      </c>
      <c r="B52" s="264" t="s">
        <v>39</v>
      </c>
      <c r="C52" s="86">
        <v>3900</v>
      </c>
      <c r="D52" s="86">
        <v>4032</v>
      </c>
      <c r="E52" s="86">
        <f t="shared" ref="E52:E59" si="3">D52-C52</f>
        <v>132</v>
      </c>
    </row>
    <row r="53" spans="1:5" x14ac:dyDescent="0.2">
      <c r="A53" s="264">
        <v>1352</v>
      </c>
      <c r="B53" s="264" t="s">
        <v>167</v>
      </c>
      <c r="C53" s="86">
        <v>6500</v>
      </c>
      <c r="D53" s="86">
        <v>7007.88</v>
      </c>
      <c r="E53" s="86">
        <f t="shared" si="3"/>
        <v>507.88000000000011</v>
      </c>
    </row>
    <row r="54" spans="1:5" x14ac:dyDescent="0.2">
      <c r="A54" s="264">
        <v>1353</v>
      </c>
      <c r="B54" s="264" t="s">
        <v>40</v>
      </c>
      <c r="C54" s="86">
        <v>4000</v>
      </c>
      <c r="D54" s="86">
        <v>3829</v>
      </c>
      <c r="E54" s="86">
        <f t="shared" si="3"/>
        <v>-171</v>
      </c>
    </row>
    <row r="55" spans="1:5" x14ac:dyDescent="0.2">
      <c r="A55" s="264">
        <v>1355</v>
      </c>
      <c r="B55" s="264" t="s">
        <v>213</v>
      </c>
      <c r="C55" s="86">
        <v>1000</v>
      </c>
      <c r="D55" s="86">
        <v>791</v>
      </c>
      <c r="E55" s="86">
        <f t="shared" si="3"/>
        <v>-209</v>
      </c>
    </row>
    <row r="56" spans="1:5" ht="15" x14ac:dyDescent="0.25">
      <c r="A56" s="264" t="s">
        <v>220</v>
      </c>
      <c r="B56" s="265" t="s">
        <v>93</v>
      </c>
      <c r="C56" s="267">
        <f>SUM(C52:C55)</f>
        <v>15400</v>
      </c>
      <c r="D56" s="267">
        <f>SUM(D52:D55)</f>
        <v>15659.880000000001</v>
      </c>
      <c r="E56" s="267">
        <f t="shared" si="3"/>
        <v>259.88000000000102</v>
      </c>
    </row>
    <row r="57" spans="1:5" x14ac:dyDescent="0.2">
      <c r="A57" s="264">
        <v>1375</v>
      </c>
      <c r="B57" s="264" t="s">
        <v>223</v>
      </c>
      <c r="C57" s="86">
        <v>20000</v>
      </c>
      <c r="D57" s="86">
        <v>2803.46</v>
      </c>
      <c r="E57" s="86">
        <f t="shared" si="3"/>
        <v>-17196.54</v>
      </c>
    </row>
    <row r="58" spans="1:5" x14ac:dyDescent="0.2">
      <c r="A58" s="264">
        <v>1376</v>
      </c>
      <c r="B58" s="264" t="s">
        <v>214</v>
      </c>
      <c r="C58" s="86">
        <v>40000</v>
      </c>
      <c r="D58" s="86">
        <v>50926.29</v>
      </c>
      <c r="E58" s="86">
        <f t="shared" si="3"/>
        <v>10926.29</v>
      </c>
    </row>
    <row r="59" spans="1:5" x14ac:dyDescent="0.2">
      <c r="A59" s="264">
        <v>1378</v>
      </c>
      <c r="B59" s="264" t="s">
        <v>188</v>
      </c>
      <c r="C59" s="86">
        <v>1300</v>
      </c>
      <c r="D59" s="86">
        <v>1601.8</v>
      </c>
      <c r="E59" s="86">
        <f t="shared" si="3"/>
        <v>301.79999999999995</v>
      </c>
    </row>
    <row r="60" spans="1:5" x14ac:dyDescent="0.2">
      <c r="A60" s="264" t="s">
        <v>220</v>
      </c>
      <c r="B60" s="264" t="s">
        <v>222</v>
      </c>
      <c r="C60" s="264" t="s">
        <v>222</v>
      </c>
      <c r="D60" s="264" t="s">
        <v>220</v>
      </c>
      <c r="E60" s="264" t="s">
        <v>220</v>
      </c>
    </row>
    <row r="61" spans="1:5" ht="15" x14ac:dyDescent="0.25">
      <c r="A61" s="264" t="s">
        <v>220</v>
      </c>
      <c r="B61" s="265" t="s">
        <v>176</v>
      </c>
      <c r="C61" s="264" t="s">
        <v>222</v>
      </c>
      <c r="D61" s="264" t="s">
        <v>220</v>
      </c>
      <c r="E61" s="264" t="s">
        <v>220</v>
      </c>
    </row>
    <row r="62" spans="1:5" x14ac:dyDescent="0.2">
      <c r="A62" s="264">
        <v>1381</v>
      </c>
      <c r="B62" s="264" t="s">
        <v>209</v>
      </c>
      <c r="C62" s="86">
        <v>0</v>
      </c>
      <c r="D62" s="86">
        <v>0</v>
      </c>
      <c r="E62" s="86">
        <f t="shared" ref="E62:E68" si="4">D62-C62</f>
        <v>0</v>
      </c>
    </row>
    <row r="63" spans="1:5" x14ac:dyDescent="0.2">
      <c r="A63" s="264">
        <v>1382</v>
      </c>
      <c r="B63" s="264" t="s">
        <v>199</v>
      </c>
      <c r="C63" s="86">
        <v>-20000</v>
      </c>
      <c r="D63" s="86">
        <v>-14673.39</v>
      </c>
      <c r="E63" s="86">
        <f t="shared" si="4"/>
        <v>5326.6100000000006</v>
      </c>
    </row>
    <row r="64" spans="1:5" x14ac:dyDescent="0.2">
      <c r="A64" s="264">
        <v>1383</v>
      </c>
      <c r="B64" s="264" t="s">
        <v>200</v>
      </c>
      <c r="C64" s="86">
        <v>2000</v>
      </c>
      <c r="D64" s="86">
        <v>1636.64</v>
      </c>
      <c r="E64" s="86">
        <f t="shared" si="4"/>
        <v>-363.3599999999999</v>
      </c>
    </row>
    <row r="65" spans="1:5" x14ac:dyDescent="0.2">
      <c r="A65" s="264">
        <v>1384</v>
      </c>
      <c r="B65" s="264" t="s">
        <v>299</v>
      </c>
      <c r="C65" s="86">
        <v>19000</v>
      </c>
      <c r="D65" s="86">
        <v>17856.900000000001</v>
      </c>
      <c r="E65" s="86">
        <f t="shared" si="4"/>
        <v>-1143.0999999999985</v>
      </c>
    </row>
    <row r="66" spans="1:5" x14ac:dyDescent="0.2">
      <c r="A66" s="264">
        <v>1392</v>
      </c>
      <c r="B66" s="264" t="s">
        <v>300</v>
      </c>
      <c r="C66" s="86">
        <v>6000</v>
      </c>
      <c r="D66" s="86">
        <v>3331.49</v>
      </c>
      <c r="E66" s="86">
        <f t="shared" si="4"/>
        <v>-2668.51</v>
      </c>
    </row>
    <row r="67" spans="1:5" x14ac:dyDescent="0.2">
      <c r="A67" s="264">
        <v>1397</v>
      </c>
      <c r="B67" s="264" t="s">
        <v>177</v>
      </c>
      <c r="C67" s="86">
        <v>1000</v>
      </c>
      <c r="D67" s="86">
        <v>-987.8</v>
      </c>
      <c r="E67" s="86">
        <f t="shared" si="4"/>
        <v>-1987.8</v>
      </c>
    </row>
    <row r="68" spans="1:5" ht="15" x14ac:dyDescent="0.25">
      <c r="A68" s="264" t="s">
        <v>220</v>
      </c>
      <c r="B68" s="265" t="s">
        <v>178</v>
      </c>
      <c r="C68" s="267">
        <f>SUM(C62:C67)</f>
        <v>8000</v>
      </c>
      <c r="D68" s="267">
        <f>SUM(D62:D67)</f>
        <v>7163.8400000000011</v>
      </c>
      <c r="E68" s="267">
        <f t="shared" si="4"/>
        <v>-836.15999999999894</v>
      </c>
    </row>
    <row r="69" spans="1:5" x14ac:dyDescent="0.2">
      <c r="A69" s="264" t="s">
        <v>220</v>
      </c>
      <c r="B69" s="264" t="s">
        <v>222</v>
      </c>
      <c r="C69" s="264" t="s">
        <v>222</v>
      </c>
      <c r="D69" s="264" t="s">
        <v>220</v>
      </c>
      <c r="E69" s="264" t="s">
        <v>220</v>
      </c>
    </row>
    <row r="70" spans="1:5" ht="15" x14ac:dyDescent="0.25">
      <c r="A70" s="264" t="s">
        <v>220</v>
      </c>
      <c r="B70" s="265" t="s">
        <v>243</v>
      </c>
      <c r="C70" s="264" t="s">
        <v>222</v>
      </c>
      <c r="D70" s="264" t="s">
        <v>220</v>
      </c>
      <c r="E70" s="264" t="s">
        <v>220</v>
      </c>
    </row>
    <row r="71" spans="1:5" x14ac:dyDescent="0.2">
      <c r="A71" s="264">
        <v>1410</v>
      </c>
      <c r="B71" s="264" t="s">
        <v>350</v>
      </c>
      <c r="C71" s="86">
        <v>-2952</v>
      </c>
      <c r="D71" s="86">
        <v>0</v>
      </c>
      <c r="E71" s="86">
        <f t="shared" ref="E71:E82" si="5">D71-C71</f>
        <v>2952</v>
      </c>
    </row>
    <row r="72" spans="1:5" x14ac:dyDescent="0.2">
      <c r="A72" s="264">
        <v>1420</v>
      </c>
      <c r="B72" s="264" t="s">
        <v>351</v>
      </c>
      <c r="C72" s="86">
        <v>0</v>
      </c>
      <c r="D72" s="86">
        <v>0</v>
      </c>
      <c r="E72" s="86">
        <f t="shared" si="5"/>
        <v>0</v>
      </c>
    </row>
    <row r="73" spans="1:5" x14ac:dyDescent="0.2">
      <c r="A73" s="264">
        <v>1423</v>
      </c>
      <c r="B73" s="264" t="s">
        <v>352</v>
      </c>
      <c r="C73" s="86">
        <v>2952</v>
      </c>
      <c r="D73" s="86">
        <v>2100</v>
      </c>
      <c r="E73" s="86">
        <f t="shared" si="5"/>
        <v>-852</v>
      </c>
    </row>
    <row r="74" spans="1:5" x14ac:dyDescent="0.2">
      <c r="A74" s="264">
        <v>1425</v>
      </c>
      <c r="B74" s="264" t="s">
        <v>412</v>
      </c>
      <c r="C74" s="86">
        <v>0</v>
      </c>
      <c r="D74" s="86">
        <v>0</v>
      </c>
      <c r="E74" s="86">
        <f t="shared" si="5"/>
        <v>0</v>
      </c>
    </row>
    <row r="75" spans="1:5" x14ac:dyDescent="0.2">
      <c r="A75" s="264">
        <v>1427</v>
      </c>
      <c r="B75" s="264" t="s">
        <v>266</v>
      </c>
      <c r="C75" s="86">
        <v>0</v>
      </c>
      <c r="D75" s="86">
        <v>0</v>
      </c>
      <c r="E75" s="86">
        <f t="shared" si="5"/>
        <v>0</v>
      </c>
    </row>
    <row r="76" spans="1:5" x14ac:dyDescent="0.2">
      <c r="A76" s="264">
        <v>1430</v>
      </c>
      <c r="B76" s="264" t="s">
        <v>266</v>
      </c>
      <c r="C76" s="86">
        <v>0</v>
      </c>
      <c r="D76" s="86">
        <v>0</v>
      </c>
      <c r="E76" s="86">
        <f t="shared" si="5"/>
        <v>0</v>
      </c>
    </row>
    <row r="77" spans="1:5" x14ac:dyDescent="0.2">
      <c r="A77" s="264">
        <v>1440</v>
      </c>
      <c r="B77" s="264" t="s">
        <v>266</v>
      </c>
      <c r="C77" s="86">
        <v>0</v>
      </c>
      <c r="D77" s="86">
        <v>0</v>
      </c>
      <c r="E77" s="86">
        <f t="shared" si="5"/>
        <v>0</v>
      </c>
    </row>
    <row r="78" spans="1:5" x14ac:dyDescent="0.2">
      <c r="A78" s="264">
        <v>1450</v>
      </c>
      <c r="B78" s="264" t="s">
        <v>266</v>
      </c>
      <c r="C78" s="86">
        <v>0</v>
      </c>
      <c r="D78" s="86">
        <v>0</v>
      </c>
      <c r="E78" s="86">
        <f t="shared" si="5"/>
        <v>0</v>
      </c>
    </row>
    <row r="79" spans="1:5" x14ac:dyDescent="0.2">
      <c r="A79" s="264">
        <v>1460</v>
      </c>
      <c r="B79" s="264" t="s">
        <v>266</v>
      </c>
      <c r="C79" s="86">
        <v>0</v>
      </c>
      <c r="D79" s="86">
        <v>0</v>
      </c>
      <c r="E79" s="86">
        <f t="shared" si="5"/>
        <v>0</v>
      </c>
    </row>
    <row r="80" spans="1:5" x14ac:dyDescent="0.2">
      <c r="A80" s="264">
        <v>1470</v>
      </c>
      <c r="B80" s="264" t="s">
        <v>266</v>
      </c>
      <c r="C80" s="86">
        <v>0</v>
      </c>
      <c r="D80" s="86">
        <v>0</v>
      </c>
      <c r="E80" s="86">
        <f t="shared" si="5"/>
        <v>0</v>
      </c>
    </row>
    <row r="81" spans="1:5" x14ac:dyDescent="0.2">
      <c r="A81" s="264">
        <v>1480</v>
      </c>
      <c r="B81" s="264" t="s">
        <v>266</v>
      </c>
      <c r="C81" s="86">
        <v>0</v>
      </c>
      <c r="D81" s="86">
        <v>0</v>
      </c>
      <c r="E81" s="86">
        <f t="shared" si="5"/>
        <v>0</v>
      </c>
    </row>
    <row r="82" spans="1:5" ht="15" x14ac:dyDescent="0.25">
      <c r="A82" s="264" t="s">
        <v>220</v>
      </c>
      <c r="B82" s="265" t="s">
        <v>321</v>
      </c>
      <c r="C82" s="267">
        <f>SUM(C71:C81)</f>
        <v>0</v>
      </c>
      <c r="D82" s="267">
        <f>SUM(D71:D81)</f>
        <v>2100</v>
      </c>
      <c r="E82" s="267">
        <f t="shared" si="5"/>
        <v>2100</v>
      </c>
    </row>
    <row r="83" spans="1:5" x14ac:dyDescent="0.2">
      <c r="A83" s="264" t="s">
        <v>220</v>
      </c>
      <c r="B83" s="264" t="s">
        <v>222</v>
      </c>
      <c r="C83" s="264" t="s">
        <v>222</v>
      </c>
      <c r="D83" s="264" t="s">
        <v>220</v>
      </c>
      <c r="E83" s="264" t="s">
        <v>220</v>
      </c>
    </row>
    <row r="84" spans="1:5" ht="15" x14ac:dyDescent="0.25">
      <c r="A84" s="264" t="s">
        <v>220</v>
      </c>
      <c r="B84" s="265" t="s">
        <v>221</v>
      </c>
      <c r="C84" s="264" t="s">
        <v>222</v>
      </c>
      <c r="D84" s="264" t="s">
        <v>220</v>
      </c>
      <c r="E84" s="264" t="s">
        <v>220</v>
      </c>
    </row>
    <row r="85" spans="1:5" x14ac:dyDescent="0.2">
      <c r="A85" s="264">
        <v>1997</v>
      </c>
      <c r="B85" s="264" t="s">
        <v>301</v>
      </c>
      <c r="C85" s="86">
        <v>0</v>
      </c>
      <c r="D85" s="86">
        <v>0</v>
      </c>
      <c r="E85" s="86">
        <f>D85-C85</f>
        <v>0</v>
      </c>
    </row>
    <row r="86" spans="1:5" ht="15" x14ac:dyDescent="0.25">
      <c r="A86" s="264" t="s">
        <v>220</v>
      </c>
      <c r="B86" s="265" t="s">
        <v>302</v>
      </c>
      <c r="C86" s="267">
        <f>SUM(C18:C24)+SUM(C28:C35)+SUM(C39:C48)+SUM(C52:C55)+SUM(C57:C59)+SUM(C62:C67)+SUM(C71:C81)+SUM(C85:C85)</f>
        <v>326050</v>
      </c>
      <c r="D86" s="267">
        <f>SUM(D18:D24)+SUM(D28:D35)+SUM(D39:D48)+SUM(D52:D55)+SUM(D57:D59)+SUM(D62:D67)+SUM(D71:D81)+SUM(D85:D85)</f>
        <v>329020.25</v>
      </c>
      <c r="E86" s="267">
        <f>D86-C86</f>
        <v>2970.25</v>
      </c>
    </row>
    <row r="87" spans="1:5" ht="15" x14ac:dyDescent="0.25">
      <c r="A87" s="264" t="s">
        <v>220</v>
      </c>
      <c r="B87" s="265" t="s">
        <v>94</v>
      </c>
      <c r="C87" s="267">
        <f>SUM(C9:C12)+SUM(C18:C24)+SUM(C28:C35)+SUM(C39:C48)+SUM(C52:C55)+SUM(C57:C59)+SUM(C62:C67)+SUM(C71:C81)+SUM(C85:C85)</f>
        <v>-422094</v>
      </c>
      <c r="D87" s="267">
        <f>SUM(D9:D12)+SUM(D18:D24)+SUM(D28:D35)+SUM(D39:D48)+SUM(D52:D55)+SUM(D57:D59)+SUM(D62:D67)+SUM(D71:D81)+SUM(D85:D85)</f>
        <v>-419323.75000000006</v>
      </c>
      <c r="E87" s="267">
        <f>D87-C87</f>
        <v>2770.2499999999418</v>
      </c>
    </row>
    <row r="88" spans="1:5" x14ac:dyDescent="0.2">
      <c r="A88" s="264" t="s">
        <v>220</v>
      </c>
      <c r="B88" s="264" t="s">
        <v>222</v>
      </c>
      <c r="C88" s="264" t="s">
        <v>222</v>
      </c>
      <c r="D88" s="264" t="s">
        <v>220</v>
      </c>
      <c r="E88" s="264" t="s">
        <v>220</v>
      </c>
    </row>
    <row r="89" spans="1:5" ht="15" x14ac:dyDescent="0.25">
      <c r="A89" s="264" t="s">
        <v>220</v>
      </c>
      <c r="B89" s="265" t="s">
        <v>303</v>
      </c>
      <c r="C89" s="264" t="s">
        <v>222</v>
      </c>
      <c r="D89" s="264" t="s">
        <v>220</v>
      </c>
      <c r="E89" s="264" t="s">
        <v>220</v>
      </c>
    </row>
    <row r="90" spans="1:5" x14ac:dyDescent="0.2">
      <c r="A90" s="264">
        <v>2210</v>
      </c>
      <c r="B90" s="264" t="s">
        <v>41</v>
      </c>
      <c r="C90" s="86">
        <v>42112</v>
      </c>
      <c r="D90" s="86">
        <v>43519.01</v>
      </c>
      <c r="E90" s="86">
        <f>D90-C90</f>
        <v>1407.010000000002</v>
      </c>
    </row>
    <row r="91" spans="1:5" x14ac:dyDescent="0.2">
      <c r="A91" s="264">
        <v>2220</v>
      </c>
      <c r="B91" s="264" t="s">
        <v>270</v>
      </c>
      <c r="C91" s="86">
        <v>45913</v>
      </c>
      <c r="D91" s="86">
        <v>49757.97</v>
      </c>
      <c r="E91" s="86">
        <f>D91-C91</f>
        <v>3844.9700000000012</v>
      </c>
    </row>
    <row r="92" spans="1:5" x14ac:dyDescent="0.2">
      <c r="A92" s="264" t="s">
        <v>220</v>
      </c>
      <c r="B92" s="264" t="s">
        <v>222</v>
      </c>
      <c r="C92" s="264" t="s">
        <v>222</v>
      </c>
      <c r="D92" s="264" t="s">
        <v>220</v>
      </c>
      <c r="E92" s="264" t="s">
        <v>220</v>
      </c>
    </row>
    <row r="93" spans="1:5" ht="15" x14ac:dyDescent="0.25">
      <c r="A93" s="264" t="s">
        <v>220</v>
      </c>
      <c r="B93" s="265" t="s">
        <v>275</v>
      </c>
      <c r="C93" s="264" t="s">
        <v>222</v>
      </c>
      <c r="D93" s="264" t="s">
        <v>220</v>
      </c>
      <c r="E93" s="264" t="s">
        <v>220</v>
      </c>
    </row>
    <row r="94" spans="1:5" x14ac:dyDescent="0.2">
      <c r="A94" s="264">
        <v>2231</v>
      </c>
      <c r="B94" s="264" t="s">
        <v>266</v>
      </c>
      <c r="C94" s="86">
        <v>0</v>
      </c>
      <c r="D94" s="86">
        <v>0</v>
      </c>
      <c r="E94" s="86">
        <f t="shared" ref="E94:E101" si="6">D94-C94</f>
        <v>0</v>
      </c>
    </row>
    <row r="95" spans="1:5" x14ac:dyDescent="0.2">
      <c r="A95" s="264">
        <v>2232</v>
      </c>
      <c r="B95" s="264" t="s">
        <v>249</v>
      </c>
      <c r="C95" s="86">
        <v>9996</v>
      </c>
      <c r="D95" s="86">
        <v>9996</v>
      </c>
      <c r="E95" s="86">
        <f t="shared" si="6"/>
        <v>0</v>
      </c>
    </row>
    <row r="96" spans="1:5" x14ac:dyDescent="0.2">
      <c r="A96" s="264">
        <v>2233</v>
      </c>
      <c r="B96" s="264" t="s">
        <v>273</v>
      </c>
      <c r="C96" s="86">
        <v>14223.09</v>
      </c>
      <c r="D96" s="86">
        <v>14223.09</v>
      </c>
      <c r="E96" s="86">
        <f t="shared" si="6"/>
        <v>0</v>
      </c>
    </row>
    <row r="97" spans="1:5" x14ac:dyDescent="0.2">
      <c r="A97" s="264">
        <v>2234</v>
      </c>
      <c r="B97" s="264" t="s">
        <v>290</v>
      </c>
      <c r="C97" s="86">
        <v>6724.97</v>
      </c>
      <c r="D97" s="86">
        <v>6724.98</v>
      </c>
      <c r="E97" s="86">
        <f t="shared" si="6"/>
        <v>9.999999999308784E-3</v>
      </c>
    </row>
    <row r="98" spans="1:5" x14ac:dyDescent="0.2">
      <c r="A98" s="264">
        <v>2235</v>
      </c>
      <c r="B98" s="264" t="s">
        <v>42</v>
      </c>
      <c r="C98" s="86">
        <v>7855</v>
      </c>
      <c r="D98" s="86">
        <v>8691.57</v>
      </c>
      <c r="E98" s="86">
        <f t="shared" si="6"/>
        <v>836.56999999999971</v>
      </c>
    </row>
    <row r="99" spans="1:5" x14ac:dyDescent="0.2">
      <c r="A99" s="264">
        <v>2236</v>
      </c>
      <c r="B99" s="264" t="s">
        <v>224</v>
      </c>
      <c r="C99" s="86">
        <v>66667</v>
      </c>
      <c r="D99" s="86">
        <v>66666.66</v>
      </c>
      <c r="E99" s="86">
        <f t="shared" si="6"/>
        <v>-0.33999999999650754</v>
      </c>
    </row>
    <row r="100" spans="1:5" x14ac:dyDescent="0.2">
      <c r="A100" s="264">
        <v>2237</v>
      </c>
      <c r="B100" s="264" t="s">
        <v>266</v>
      </c>
      <c r="C100" s="86">
        <v>0</v>
      </c>
      <c r="D100" s="86">
        <v>0</v>
      </c>
      <c r="E100" s="86">
        <f t="shared" si="6"/>
        <v>0</v>
      </c>
    </row>
    <row r="101" spans="1:5" ht="15" x14ac:dyDescent="0.25">
      <c r="A101" s="264" t="s">
        <v>220</v>
      </c>
      <c r="B101" s="265" t="s">
        <v>277</v>
      </c>
      <c r="C101" s="267">
        <f>SUM(C94:C100)</f>
        <v>105466.06</v>
      </c>
      <c r="D101" s="267">
        <f>SUM(D94:D100)</f>
        <v>106302.3</v>
      </c>
      <c r="E101" s="267">
        <f t="shared" si="6"/>
        <v>836.24000000000524</v>
      </c>
    </row>
    <row r="102" spans="1:5" x14ac:dyDescent="0.2">
      <c r="A102" s="264" t="s">
        <v>220</v>
      </c>
      <c r="B102" s="264" t="s">
        <v>222</v>
      </c>
      <c r="C102" s="264" t="s">
        <v>222</v>
      </c>
      <c r="D102" s="264" t="s">
        <v>220</v>
      </c>
      <c r="E102" s="264" t="s">
        <v>220</v>
      </c>
    </row>
    <row r="103" spans="1:5" ht="15" x14ac:dyDescent="0.25">
      <c r="A103" s="264" t="s">
        <v>220</v>
      </c>
      <c r="B103" s="265" t="s">
        <v>278</v>
      </c>
      <c r="C103" s="264" t="s">
        <v>222</v>
      </c>
      <c r="D103" s="264" t="s">
        <v>220</v>
      </c>
      <c r="E103" s="264" t="s">
        <v>220</v>
      </c>
    </row>
    <row r="104" spans="1:5" x14ac:dyDescent="0.2">
      <c r="A104" s="264">
        <v>2241</v>
      </c>
      <c r="B104" s="264" t="s">
        <v>276</v>
      </c>
      <c r="C104" s="86">
        <v>90000</v>
      </c>
      <c r="D104" s="86">
        <v>90000</v>
      </c>
      <c r="E104" s="86">
        <f>D104-C104</f>
        <v>0</v>
      </c>
    </row>
    <row r="105" spans="1:5" x14ac:dyDescent="0.2">
      <c r="A105" s="264">
        <v>2248</v>
      </c>
      <c r="B105" s="264" t="s">
        <v>279</v>
      </c>
      <c r="C105" s="86">
        <v>0</v>
      </c>
      <c r="D105" s="86">
        <v>0</v>
      </c>
      <c r="E105" s="86">
        <f>D105-C105</f>
        <v>0</v>
      </c>
    </row>
    <row r="106" spans="1:5" ht="15" x14ac:dyDescent="0.25">
      <c r="A106" s="264" t="s">
        <v>220</v>
      </c>
      <c r="B106" s="265" t="s">
        <v>280</v>
      </c>
      <c r="C106" s="267">
        <f>SUM(C104:C105)</f>
        <v>90000</v>
      </c>
      <c r="D106" s="267">
        <f>SUM(D104:D105)</f>
        <v>90000</v>
      </c>
      <c r="E106" s="267">
        <f>D106-C106</f>
        <v>0</v>
      </c>
    </row>
    <row r="107" spans="1:5" x14ac:dyDescent="0.2">
      <c r="A107" s="264" t="s">
        <v>220</v>
      </c>
      <c r="B107" s="264" t="s">
        <v>222</v>
      </c>
      <c r="C107" s="264" t="s">
        <v>222</v>
      </c>
      <c r="D107" s="264" t="s">
        <v>220</v>
      </c>
      <c r="E107" s="264" t="s">
        <v>220</v>
      </c>
    </row>
    <row r="108" spans="1:5" ht="15" x14ac:dyDescent="0.25">
      <c r="A108" s="264" t="s">
        <v>220</v>
      </c>
      <c r="B108" s="265" t="s">
        <v>7</v>
      </c>
      <c r="C108" s="264" t="s">
        <v>222</v>
      </c>
      <c r="D108" s="264" t="s">
        <v>220</v>
      </c>
      <c r="E108" s="264" t="s">
        <v>220</v>
      </c>
    </row>
    <row r="109" spans="1:5" x14ac:dyDescent="0.2">
      <c r="A109" s="264">
        <v>2251</v>
      </c>
      <c r="B109" s="264" t="s">
        <v>210</v>
      </c>
      <c r="C109" s="86">
        <v>0</v>
      </c>
      <c r="D109" s="86">
        <v>51983.56</v>
      </c>
      <c r="E109" s="86">
        <f t="shared" ref="E109:E114" si="7">D109-C109</f>
        <v>51983.56</v>
      </c>
    </row>
    <row r="110" spans="1:5" x14ac:dyDescent="0.2">
      <c r="A110" s="264">
        <v>2252</v>
      </c>
      <c r="B110" s="264" t="s">
        <v>211</v>
      </c>
      <c r="C110" s="86">
        <v>0</v>
      </c>
      <c r="D110" s="86">
        <v>-52299.37</v>
      </c>
      <c r="E110" s="86">
        <f t="shared" si="7"/>
        <v>-52299.37</v>
      </c>
    </row>
    <row r="111" spans="1:5" x14ac:dyDescent="0.2">
      <c r="A111" s="264">
        <v>2255</v>
      </c>
      <c r="B111" s="264" t="s">
        <v>155</v>
      </c>
      <c r="C111" s="86">
        <v>0</v>
      </c>
      <c r="D111" s="86">
        <v>0</v>
      </c>
      <c r="E111" s="86">
        <f t="shared" si="7"/>
        <v>0</v>
      </c>
    </row>
    <row r="112" spans="1:5" x14ac:dyDescent="0.2">
      <c r="A112" s="264">
        <v>2256</v>
      </c>
      <c r="B112" s="264" t="s">
        <v>156</v>
      </c>
      <c r="C112" s="86">
        <v>0</v>
      </c>
      <c r="D112" s="86">
        <v>0</v>
      </c>
      <c r="E112" s="86">
        <f t="shared" si="7"/>
        <v>0</v>
      </c>
    </row>
    <row r="113" spans="1:5" x14ac:dyDescent="0.2">
      <c r="A113" s="264">
        <v>2258</v>
      </c>
      <c r="B113" s="264" t="s">
        <v>43</v>
      </c>
      <c r="C113" s="86">
        <v>0</v>
      </c>
      <c r="D113" s="86">
        <v>1250</v>
      </c>
      <c r="E113" s="86">
        <f t="shared" si="7"/>
        <v>1250</v>
      </c>
    </row>
    <row r="114" spans="1:5" ht="15" x14ac:dyDescent="0.25">
      <c r="A114" s="264" t="s">
        <v>220</v>
      </c>
      <c r="B114" s="265" t="s">
        <v>95</v>
      </c>
      <c r="C114" s="267">
        <f>SUM(C109:C113)</f>
        <v>0</v>
      </c>
      <c r="D114" s="267">
        <f>SUM(D109:D113)</f>
        <v>934.18999999999505</v>
      </c>
      <c r="E114" s="267">
        <f t="shared" si="7"/>
        <v>934.18999999999505</v>
      </c>
    </row>
    <row r="115" spans="1:5" x14ac:dyDescent="0.2">
      <c r="A115" s="264" t="s">
        <v>220</v>
      </c>
      <c r="B115" s="264" t="s">
        <v>222</v>
      </c>
      <c r="C115" s="264" t="s">
        <v>222</v>
      </c>
      <c r="D115" s="264" t="s">
        <v>220</v>
      </c>
      <c r="E115" s="264" t="s">
        <v>220</v>
      </c>
    </row>
    <row r="116" spans="1:5" ht="15" x14ac:dyDescent="0.25">
      <c r="A116" s="264" t="s">
        <v>220</v>
      </c>
      <c r="B116" s="265" t="s">
        <v>168</v>
      </c>
      <c r="C116" s="264" t="s">
        <v>222</v>
      </c>
      <c r="D116" s="264" t="s">
        <v>220</v>
      </c>
      <c r="E116" s="264" t="s">
        <v>220</v>
      </c>
    </row>
    <row r="117" spans="1:5" x14ac:dyDescent="0.2">
      <c r="A117" s="264">
        <v>2261</v>
      </c>
      <c r="B117" s="264" t="s">
        <v>14</v>
      </c>
      <c r="C117" s="86">
        <v>-2066.4299999999998</v>
      </c>
      <c r="D117" s="86">
        <v>-2066</v>
      </c>
      <c r="E117" s="86">
        <f t="shared" ref="E117:E123" si="8">D117-C117</f>
        <v>0.42999999999983629</v>
      </c>
    </row>
    <row r="118" spans="1:5" x14ac:dyDescent="0.2">
      <c r="A118" s="264">
        <v>2262</v>
      </c>
      <c r="B118" s="264" t="s">
        <v>44</v>
      </c>
      <c r="C118" s="86">
        <v>51000</v>
      </c>
      <c r="D118" s="86">
        <v>39222.61</v>
      </c>
      <c r="E118" s="86">
        <f t="shared" si="8"/>
        <v>-11777.39</v>
      </c>
    </row>
    <row r="119" spans="1:5" x14ac:dyDescent="0.2">
      <c r="A119" s="264">
        <v>2263</v>
      </c>
      <c r="B119" s="264" t="s">
        <v>145</v>
      </c>
      <c r="C119" s="86">
        <v>23888.89</v>
      </c>
      <c r="D119" s="86">
        <v>2751</v>
      </c>
      <c r="E119" s="86">
        <f t="shared" si="8"/>
        <v>-21137.89</v>
      </c>
    </row>
    <row r="120" spans="1:5" x14ac:dyDescent="0.2">
      <c r="A120" s="264">
        <v>2264</v>
      </c>
      <c r="B120" s="264" t="s">
        <v>45</v>
      </c>
      <c r="C120" s="86">
        <v>16976</v>
      </c>
      <c r="D120" s="86">
        <v>16573</v>
      </c>
      <c r="E120" s="86">
        <f t="shared" si="8"/>
        <v>-403</v>
      </c>
    </row>
    <row r="121" spans="1:5" x14ac:dyDescent="0.2">
      <c r="A121" s="264">
        <v>2265</v>
      </c>
      <c r="B121" s="264" t="s">
        <v>151</v>
      </c>
      <c r="C121" s="86">
        <v>2000</v>
      </c>
      <c r="D121" s="86">
        <v>2452.71</v>
      </c>
      <c r="E121" s="86">
        <f t="shared" si="8"/>
        <v>452.71000000000004</v>
      </c>
    </row>
    <row r="122" spans="1:5" x14ac:dyDescent="0.2">
      <c r="A122" s="264">
        <v>2266</v>
      </c>
      <c r="B122" s="264" t="s">
        <v>244</v>
      </c>
      <c r="C122" s="86">
        <v>2877</v>
      </c>
      <c r="D122" s="86">
        <v>2175.36</v>
      </c>
      <c r="E122" s="86">
        <f t="shared" si="8"/>
        <v>-701.63999999999987</v>
      </c>
    </row>
    <row r="123" spans="1:5" ht="15" x14ac:dyDescent="0.25">
      <c r="A123" s="264" t="s">
        <v>220</v>
      </c>
      <c r="B123" s="265" t="s">
        <v>169</v>
      </c>
      <c r="C123" s="267">
        <f>SUM(C117:C122)</f>
        <v>94675.459999999992</v>
      </c>
      <c r="D123" s="267">
        <f>SUM(D117:D122)</f>
        <v>61108.68</v>
      </c>
      <c r="E123" s="267">
        <f t="shared" si="8"/>
        <v>-33566.779999999992</v>
      </c>
    </row>
    <row r="124" spans="1:5" x14ac:dyDescent="0.2">
      <c r="A124" s="264" t="s">
        <v>220</v>
      </c>
      <c r="B124" s="264" t="s">
        <v>222</v>
      </c>
      <c r="C124" s="264" t="s">
        <v>222</v>
      </c>
      <c r="D124" s="264" t="s">
        <v>220</v>
      </c>
      <c r="E124" s="264" t="s">
        <v>220</v>
      </c>
    </row>
    <row r="125" spans="1:5" ht="15" x14ac:dyDescent="0.25">
      <c r="A125" s="264" t="s">
        <v>220</v>
      </c>
      <c r="B125" s="265" t="s">
        <v>9</v>
      </c>
      <c r="C125" s="264" t="s">
        <v>222</v>
      </c>
      <c r="D125" s="264" t="s">
        <v>220</v>
      </c>
      <c r="E125" s="264" t="s">
        <v>220</v>
      </c>
    </row>
    <row r="126" spans="1:5" x14ac:dyDescent="0.2">
      <c r="A126" s="264">
        <v>2271</v>
      </c>
      <c r="B126" s="264" t="s">
        <v>46</v>
      </c>
      <c r="C126" s="86">
        <v>2500</v>
      </c>
      <c r="D126" s="86">
        <v>1536.15</v>
      </c>
      <c r="E126" s="86">
        <f>D126-C126</f>
        <v>-963.84999999999991</v>
      </c>
    </row>
    <row r="127" spans="1:5" x14ac:dyDescent="0.2">
      <c r="A127" s="264">
        <v>2272</v>
      </c>
      <c r="B127" s="264" t="s">
        <v>47</v>
      </c>
      <c r="C127" s="86">
        <v>1000</v>
      </c>
      <c r="D127" s="86">
        <v>1373.05</v>
      </c>
      <c r="E127" s="86">
        <f>D127-C127</f>
        <v>373.04999999999995</v>
      </c>
    </row>
    <row r="128" spans="1:5" x14ac:dyDescent="0.2">
      <c r="A128" s="264">
        <v>2273</v>
      </c>
      <c r="B128" s="264" t="s">
        <v>48</v>
      </c>
      <c r="C128" s="86">
        <v>7000</v>
      </c>
      <c r="D128" s="86">
        <v>7301.25</v>
      </c>
      <c r="E128" s="86">
        <f>D128-C128</f>
        <v>301.25</v>
      </c>
    </row>
    <row r="129" spans="1:5" ht="15" x14ac:dyDescent="0.25">
      <c r="A129" s="264" t="s">
        <v>220</v>
      </c>
      <c r="B129" s="265" t="s">
        <v>96</v>
      </c>
      <c r="C129" s="267">
        <f>SUM(C126:C128)</f>
        <v>10500</v>
      </c>
      <c r="D129" s="267">
        <f>SUM(D126:D128)</f>
        <v>10210.450000000001</v>
      </c>
      <c r="E129" s="267">
        <f>D129-C129</f>
        <v>-289.54999999999927</v>
      </c>
    </row>
    <row r="130" spans="1:5" x14ac:dyDescent="0.2">
      <c r="A130" s="264" t="s">
        <v>220</v>
      </c>
      <c r="B130" s="264" t="s">
        <v>222</v>
      </c>
      <c r="C130" s="264" t="s">
        <v>222</v>
      </c>
      <c r="D130" s="264" t="s">
        <v>220</v>
      </c>
      <c r="E130" s="264" t="s">
        <v>220</v>
      </c>
    </row>
    <row r="131" spans="1:5" ht="15" x14ac:dyDescent="0.25">
      <c r="A131" s="264" t="s">
        <v>220</v>
      </c>
      <c r="B131" s="265" t="s">
        <v>8</v>
      </c>
      <c r="C131" s="264" t="s">
        <v>222</v>
      </c>
      <c r="D131" s="264" t="s">
        <v>220</v>
      </c>
      <c r="E131" s="264" t="s">
        <v>220</v>
      </c>
    </row>
    <row r="132" spans="1:5" x14ac:dyDescent="0.2">
      <c r="A132" s="264">
        <v>2282</v>
      </c>
      <c r="B132" s="264" t="s">
        <v>49</v>
      </c>
      <c r="C132" s="86">
        <v>20875</v>
      </c>
      <c r="D132" s="86">
        <v>20875</v>
      </c>
      <c r="E132" s="86">
        <f>D132-C132</f>
        <v>0</v>
      </c>
    </row>
    <row r="133" spans="1:5" x14ac:dyDescent="0.2">
      <c r="A133" s="264">
        <v>2284</v>
      </c>
      <c r="B133" s="264" t="s">
        <v>50</v>
      </c>
      <c r="C133" s="86">
        <v>10625</v>
      </c>
      <c r="D133" s="86">
        <v>10625</v>
      </c>
      <c r="E133" s="86">
        <f>D133-C133</f>
        <v>0</v>
      </c>
    </row>
    <row r="134" spans="1:5" ht="15" x14ac:dyDescent="0.25">
      <c r="A134" s="264" t="s">
        <v>220</v>
      </c>
      <c r="B134" s="265" t="s">
        <v>97</v>
      </c>
      <c r="C134" s="267">
        <f>SUM(C132:C133)</f>
        <v>31500</v>
      </c>
      <c r="D134" s="267">
        <f>SUM(D132:D133)</f>
        <v>31500</v>
      </c>
      <c r="E134" s="267">
        <f>D134-C134</f>
        <v>0</v>
      </c>
    </row>
    <row r="135" spans="1:5" x14ac:dyDescent="0.2">
      <c r="A135" s="264" t="s">
        <v>220</v>
      </c>
      <c r="B135" s="264" t="s">
        <v>222</v>
      </c>
      <c r="C135" s="264" t="s">
        <v>222</v>
      </c>
      <c r="D135" s="264" t="s">
        <v>220</v>
      </c>
      <c r="E135" s="264" t="s">
        <v>220</v>
      </c>
    </row>
    <row r="136" spans="1:5" ht="15" x14ac:dyDescent="0.25">
      <c r="A136" s="264" t="s">
        <v>220</v>
      </c>
      <c r="B136" s="265" t="s">
        <v>10</v>
      </c>
      <c r="C136" s="264" t="s">
        <v>222</v>
      </c>
      <c r="D136" s="264" t="s">
        <v>220</v>
      </c>
      <c r="E136" s="264" t="s">
        <v>220</v>
      </c>
    </row>
    <row r="137" spans="1:5" x14ac:dyDescent="0.2">
      <c r="A137" s="264">
        <v>2292</v>
      </c>
      <c r="B137" s="264" t="s">
        <v>51</v>
      </c>
      <c r="C137" s="86">
        <v>0</v>
      </c>
      <c r="D137" s="86">
        <v>0</v>
      </c>
      <c r="E137" s="86">
        <f t="shared" ref="E137:E144" si="9">D137-C137</f>
        <v>0</v>
      </c>
    </row>
    <row r="138" spans="1:5" x14ac:dyDescent="0.2">
      <c r="A138" s="264">
        <v>2293</v>
      </c>
      <c r="B138" s="264" t="s">
        <v>170</v>
      </c>
      <c r="C138" s="86">
        <v>0</v>
      </c>
      <c r="D138" s="86">
        <v>0</v>
      </c>
      <c r="E138" s="86">
        <f t="shared" si="9"/>
        <v>0</v>
      </c>
    </row>
    <row r="139" spans="1:5" x14ac:dyDescent="0.2">
      <c r="A139" s="264">
        <v>2294</v>
      </c>
      <c r="B139" s="264" t="s">
        <v>52</v>
      </c>
      <c r="C139" s="86">
        <v>0</v>
      </c>
      <c r="D139" s="86">
        <v>0</v>
      </c>
      <c r="E139" s="86">
        <f t="shared" si="9"/>
        <v>0</v>
      </c>
    </row>
    <row r="140" spans="1:5" x14ac:dyDescent="0.2">
      <c r="A140" s="264">
        <v>2295</v>
      </c>
      <c r="B140" s="264" t="s">
        <v>53</v>
      </c>
      <c r="C140" s="86">
        <v>0</v>
      </c>
      <c r="D140" s="86">
        <v>813.3</v>
      </c>
      <c r="E140" s="86">
        <f t="shared" si="9"/>
        <v>813.3</v>
      </c>
    </row>
    <row r="141" spans="1:5" ht="15" x14ac:dyDescent="0.25">
      <c r="A141" s="264" t="s">
        <v>220</v>
      </c>
      <c r="B141" s="265" t="s">
        <v>98</v>
      </c>
      <c r="C141" s="267">
        <f>SUM(C137:C140)</f>
        <v>0</v>
      </c>
      <c r="D141" s="267">
        <f>SUM(D137:D140)</f>
        <v>813.3</v>
      </c>
      <c r="E141" s="267">
        <f t="shared" si="9"/>
        <v>813.3</v>
      </c>
    </row>
    <row r="142" spans="1:5" ht="15" x14ac:dyDescent="0.25">
      <c r="A142" s="264" t="s">
        <v>220</v>
      </c>
      <c r="B142" s="265" t="s">
        <v>304</v>
      </c>
      <c r="C142" s="267">
        <f>SUM(C90:C91)+SUM(C94:C100)+SUM(C104:C105)+SUM(C109:C113)+SUM(C117:C122)+SUM(C126:C128)+SUM(C132:C133)+SUM(C137:C140)</f>
        <v>420166.52</v>
      </c>
      <c r="D142" s="267">
        <f>SUM(D90:D91)+SUM(D94:D100)+SUM(D104:D105)+SUM(D109:D113)+SUM(D117:D122)+SUM(D126:D128)+SUM(D132:D133)+SUM(D137:D140)</f>
        <v>394145.9</v>
      </c>
      <c r="E142" s="267">
        <f t="shared" si="9"/>
        <v>-26020.619999999995</v>
      </c>
    </row>
    <row r="143" spans="1:5" ht="15" x14ac:dyDescent="0.25">
      <c r="A143" s="264" t="s">
        <v>220</v>
      </c>
      <c r="B143" s="265" t="s">
        <v>305</v>
      </c>
      <c r="C143" s="267">
        <f>SUM(C18:C24)+SUM(C28:C35)+SUM(C39:C48)+SUM(C52:C55)+SUM(C57:C59)+SUM(C62:C67)+SUM(C71:C81)+SUM(C85:C85)+SUM(C90:C91)+SUM(C94:C100)+SUM(C104:C105)+SUM(C109:C113)+SUM(C117:C122)+SUM(C126:C128)+SUM(C132:C133)+SUM(C137:C140)</f>
        <v>746216.52</v>
      </c>
      <c r="D143" s="267">
        <f>SUM(D18:D24)+SUM(D28:D35)+SUM(D39:D48)+SUM(D52:D55)+SUM(D57:D59)+SUM(D62:D67)+SUM(D71:D81)+SUM(D85:D85)+SUM(D90:D91)+SUM(D94:D100)+SUM(D104:D105)+SUM(D109:D113)+SUM(D117:D122)+SUM(D126:D128)+SUM(D132:D133)+SUM(D137:D140)</f>
        <v>723166.15</v>
      </c>
      <c r="E143" s="267">
        <f t="shared" si="9"/>
        <v>-23050.369999999995</v>
      </c>
    </row>
    <row r="144" spans="1:5" ht="15" x14ac:dyDescent="0.25">
      <c r="A144" s="264" t="s">
        <v>220</v>
      </c>
      <c r="B144" s="265" t="s">
        <v>171</v>
      </c>
      <c r="C144" s="267">
        <f>SUM(C9:C12)+SUM(C18:C24)+SUM(C28:C35)+SUM(C39:C48)+SUM(C52:C55)+SUM(C57:C59)+SUM(C62:C67)+SUM(C71:C81)+SUM(C85:C85)+SUM(C90:C91)+SUM(C94:C100)+SUM(C104:C105)+SUM(C109:C113)+SUM(C117:C122)+SUM(C126:C128)+SUM(C132:C133)+SUM(C137:C140)</f>
        <v>-1927.4800000000105</v>
      </c>
      <c r="D144" s="267">
        <f>SUM(D9:D12)+SUM(D18:D24)+SUM(D28:D35)+SUM(D39:D48)+SUM(D52:D55)+SUM(D57:D59)+SUM(D62:D67)+SUM(D71:D81)+SUM(D85:D85)+SUM(D90:D91)+SUM(D94:D100)+SUM(D104:D105)+SUM(D109:D113)+SUM(D117:D122)+SUM(D126:D128)+SUM(D132:D133)+SUM(D137:D140)</f>
        <v>-25177.850000000039</v>
      </c>
      <c r="E144" s="267">
        <f t="shared" si="9"/>
        <v>-23250.370000000028</v>
      </c>
    </row>
    <row r="145" spans="1:5" x14ac:dyDescent="0.2">
      <c r="A145" s="264" t="s">
        <v>220</v>
      </c>
      <c r="B145" s="264" t="s">
        <v>222</v>
      </c>
      <c r="C145" s="264" t="s">
        <v>222</v>
      </c>
      <c r="D145" s="264" t="s">
        <v>220</v>
      </c>
      <c r="E145" s="264" t="s">
        <v>220</v>
      </c>
    </row>
    <row r="146" spans="1:5" ht="15" x14ac:dyDescent="0.25">
      <c r="A146" s="264" t="s">
        <v>220</v>
      </c>
      <c r="B146" s="265" t="s">
        <v>99</v>
      </c>
      <c r="C146" s="264" t="s">
        <v>222</v>
      </c>
      <c r="D146" s="264" t="s">
        <v>220</v>
      </c>
      <c r="E146" s="264" t="s">
        <v>220</v>
      </c>
    </row>
    <row r="147" spans="1:5" x14ac:dyDescent="0.2">
      <c r="A147" s="264" t="s">
        <v>220</v>
      </c>
      <c r="B147" s="264" t="s">
        <v>222</v>
      </c>
      <c r="C147" s="264" t="s">
        <v>222</v>
      </c>
      <c r="D147" s="264" t="s">
        <v>220</v>
      </c>
      <c r="E147" s="264" t="s">
        <v>220</v>
      </c>
    </row>
    <row r="148" spans="1:5" ht="15" x14ac:dyDescent="0.25">
      <c r="A148" s="264" t="s">
        <v>220</v>
      </c>
      <c r="B148" s="265" t="s">
        <v>61</v>
      </c>
      <c r="C148" s="264" t="s">
        <v>222</v>
      </c>
      <c r="D148" s="264" t="s">
        <v>220</v>
      </c>
      <c r="E148" s="264" t="s">
        <v>220</v>
      </c>
    </row>
    <row r="149" spans="1:5" x14ac:dyDescent="0.2">
      <c r="A149" s="264">
        <v>3110</v>
      </c>
      <c r="B149" s="264" t="s">
        <v>54</v>
      </c>
      <c r="C149" s="86">
        <v>0</v>
      </c>
      <c r="D149" s="86">
        <v>-43203.26</v>
      </c>
      <c r="E149" s="86">
        <f t="shared" ref="E149:E156" si="10">D149-C149</f>
        <v>-43203.26</v>
      </c>
    </row>
    <row r="150" spans="1:5" x14ac:dyDescent="0.2">
      <c r="A150" s="264">
        <v>3120</v>
      </c>
      <c r="B150" s="264" t="s">
        <v>55</v>
      </c>
      <c r="C150" s="86">
        <v>0</v>
      </c>
      <c r="D150" s="86">
        <v>-2452.71</v>
      </c>
      <c r="E150" s="86">
        <f t="shared" si="10"/>
        <v>-2452.71</v>
      </c>
    </row>
    <row r="151" spans="1:5" x14ac:dyDescent="0.2">
      <c r="A151" s="264">
        <v>3140</v>
      </c>
      <c r="B151" s="264" t="s">
        <v>56</v>
      </c>
      <c r="C151" s="86">
        <v>0</v>
      </c>
      <c r="D151" s="86">
        <v>27135.73</v>
      </c>
      <c r="E151" s="86">
        <f t="shared" si="10"/>
        <v>27135.73</v>
      </c>
    </row>
    <row r="152" spans="1:5" x14ac:dyDescent="0.2">
      <c r="A152" s="264">
        <v>3150</v>
      </c>
      <c r="B152" s="264" t="s">
        <v>44</v>
      </c>
      <c r="C152" s="86">
        <v>0</v>
      </c>
      <c r="D152" s="86">
        <v>5907</v>
      </c>
      <c r="E152" s="86">
        <f t="shared" si="10"/>
        <v>5907</v>
      </c>
    </row>
    <row r="153" spans="1:5" x14ac:dyDescent="0.2">
      <c r="A153" s="264">
        <v>3160</v>
      </c>
      <c r="B153" s="264" t="s">
        <v>57</v>
      </c>
      <c r="C153" s="86">
        <v>0</v>
      </c>
      <c r="D153" s="86">
        <v>0</v>
      </c>
      <c r="E153" s="86">
        <f t="shared" si="10"/>
        <v>0</v>
      </c>
    </row>
    <row r="154" spans="1:5" x14ac:dyDescent="0.2">
      <c r="A154" s="264">
        <v>3170</v>
      </c>
      <c r="B154" s="264" t="s">
        <v>45</v>
      </c>
      <c r="C154" s="86">
        <v>0</v>
      </c>
      <c r="D154" s="86">
        <v>11225</v>
      </c>
      <c r="E154" s="86">
        <f t="shared" si="10"/>
        <v>11225</v>
      </c>
    </row>
    <row r="155" spans="1:5" x14ac:dyDescent="0.2">
      <c r="A155" s="264">
        <v>3180</v>
      </c>
      <c r="B155" s="264" t="s">
        <v>58</v>
      </c>
      <c r="C155" s="86">
        <v>0</v>
      </c>
      <c r="D155" s="86">
        <v>934.63</v>
      </c>
      <c r="E155" s="86">
        <f t="shared" si="10"/>
        <v>934.63</v>
      </c>
    </row>
    <row r="156" spans="1:5" ht="15" x14ac:dyDescent="0.25">
      <c r="A156" s="264" t="s">
        <v>220</v>
      </c>
      <c r="B156" s="265" t="s">
        <v>100</v>
      </c>
      <c r="C156" s="267">
        <f>SUM(C149:C155)</f>
        <v>0</v>
      </c>
      <c r="D156" s="267">
        <f>SUM(D149:D155)</f>
        <v>-453.61000000000161</v>
      </c>
      <c r="E156" s="267">
        <f t="shared" si="10"/>
        <v>-453.61000000000161</v>
      </c>
    </row>
    <row r="157" spans="1:5" x14ac:dyDescent="0.2">
      <c r="A157" s="264" t="s">
        <v>220</v>
      </c>
      <c r="B157" s="264" t="s">
        <v>222</v>
      </c>
      <c r="C157" s="264" t="s">
        <v>222</v>
      </c>
      <c r="D157" s="264" t="s">
        <v>220</v>
      </c>
      <c r="E157" s="264" t="s">
        <v>220</v>
      </c>
    </row>
    <row r="158" spans="1:5" ht="15" x14ac:dyDescent="0.25">
      <c r="A158" s="264" t="s">
        <v>220</v>
      </c>
      <c r="B158" s="265" t="s">
        <v>45</v>
      </c>
      <c r="C158" s="264" t="s">
        <v>222</v>
      </c>
      <c r="D158" s="264" t="s">
        <v>220</v>
      </c>
      <c r="E158" s="264" t="s">
        <v>220</v>
      </c>
    </row>
    <row r="159" spans="1:5" x14ac:dyDescent="0.2">
      <c r="A159" s="264">
        <v>3210</v>
      </c>
      <c r="B159" s="264" t="s">
        <v>59</v>
      </c>
      <c r="C159" s="86">
        <v>0</v>
      </c>
      <c r="D159" s="86">
        <v>-116239</v>
      </c>
      <c r="E159" s="86">
        <f>D159-C159</f>
        <v>-116239</v>
      </c>
    </row>
    <row r="160" spans="1:5" x14ac:dyDescent="0.2">
      <c r="A160" s="264">
        <v>3220</v>
      </c>
      <c r="B160" s="264" t="s">
        <v>60</v>
      </c>
      <c r="C160" s="86">
        <v>0</v>
      </c>
      <c r="D160" s="86">
        <v>-16573</v>
      </c>
      <c r="E160" s="86">
        <f>D160-C160</f>
        <v>-16573</v>
      </c>
    </row>
    <row r="161" spans="1:5" x14ac:dyDescent="0.2">
      <c r="A161" s="264">
        <v>3230</v>
      </c>
      <c r="B161" s="264" t="s">
        <v>172</v>
      </c>
      <c r="C161" s="86">
        <v>0</v>
      </c>
      <c r="D161" s="86">
        <v>-11225</v>
      </c>
      <c r="E161" s="86">
        <f>D161-C161</f>
        <v>-11225</v>
      </c>
    </row>
    <row r="162" spans="1:5" x14ac:dyDescent="0.2">
      <c r="A162" s="264">
        <v>3240</v>
      </c>
      <c r="B162" s="264" t="s">
        <v>62</v>
      </c>
      <c r="C162" s="86">
        <v>0</v>
      </c>
      <c r="D162" s="86">
        <v>136118.01999999999</v>
      </c>
      <c r="E162" s="86">
        <f>D162-C162</f>
        <v>136118.01999999999</v>
      </c>
    </row>
    <row r="163" spans="1:5" ht="15" x14ac:dyDescent="0.25">
      <c r="A163" s="264" t="s">
        <v>220</v>
      </c>
      <c r="B163" s="265" t="s">
        <v>101</v>
      </c>
      <c r="C163" s="267">
        <f>SUM(C159:C162)</f>
        <v>0</v>
      </c>
      <c r="D163" s="267">
        <f>SUM(D159:D162)</f>
        <v>-7918.9800000000105</v>
      </c>
      <c r="E163" s="267">
        <f>D163-C163</f>
        <v>-7918.9800000000105</v>
      </c>
    </row>
    <row r="164" spans="1:5" x14ac:dyDescent="0.2">
      <c r="A164" s="264" t="s">
        <v>220</v>
      </c>
      <c r="B164" s="264" t="s">
        <v>222</v>
      </c>
      <c r="C164" s="264" t="s">
        <v>222</v>
      </c>
      <c r="D164" s="264" t="s">
        <v>220</v>
      </c>
      <c r="E164" s="264" t="s">
        <v>220</v>
      </c>
    </row>
    <row r="165" spans="1:5" ht="15" x14ac:dyDescent="0.25">
      <c r="A165" s="264" t="s">
        <v>220</v>
      </c>
      <c r="B165" s="265" t="s">
        <v>291</v>
      </c>
      <c r="C165" s="264" t="s">
        <v>222</v>
      </c>
      <c r="D165" s="264" t="s">
        <v>220</v>
      </c>
      <c r="E165" s="264" t="s">
        <v>220</v>
      </c>
    </row>
    <row r="166" spans="1:5" x14ac:dyDescent="0.2">
      <c r="A166" s="264">
        <v>3310</v>
      </c>
      <c r="B166" s="264" t="s">
        <v>63</v>
      </c>
      <c r="C166" s="86">
        <v>0</v>
      </c>
      <c r="D166" s="86">
        <v>-125581</v>
      </c>
      <c r="E166" s="86">
        <f>D166-C166</f>
        <v>-125581</v>
      </c>
    </row>
    <row r="167" spans="1:5" x14ac:dyDescent="0.2">
      <c r="A167" s="264">
        <v>3320</v>
      </c>
      <c r="B167" s="264" t="s">
        <v>64</v>
      </c>
      <c r="C167" s="86">
        <v>0</v>
      </c>
      <c r="D167" s="86">
        <v>-7416</v>
      </c>
      <c r="E167" s="86">
        <f>D167-C167</f>
        <v>-7416</v>
      </c>
    </row>
    <row r="168" spans="1:5" x14ac:dyDescent="0.2">
      <c r="A168" s="264">
        <v>3330</v>
      </c>
      <c r="B168" s="264" t="s">
        <v>292</v>
      </c>
      <c r="C168" s="86">
        <v>0</v>
      </c>
      <c r="D168" s="86">
        <v>-70414</v>
      </c>
      <c r="E168" s="86">
        <f>D168-C168</f>
        <v>-70414</v>
      </c>
    </row>
    <row r="169" spans="1:5" x14ac:dyDescent="0.2">
      <c r="A169" s="264">
        <v>3340</v>
      </c>
      <c r="B169" s="264" t="s">
        <v>293</v>
      </c>
      <c r="C169" s="86">
        <v>0</v>
      </c>
      <c r="D169" s="86">
        <v>261143.9</v>
      </c>
      <c r="E169" s="86">
        <f>D169-C169</f>
        <v>261143.9</v>
      </c>
    </row>
    <row r="170" spans="1:5" ht="15" x14ac:dyDescent="0.25">
      <c r="A170" s="264" t="s">
        <v>220</v>
      </c>
      <c r="B170" s="265" t="s">
        <v>245</v>
      </c>
      <c r="C170" s="267">
        <f>SUM(C166:C169)</f>
        <v>0</v>
      </c>
      <c r="D170" s="267">
        <f>SUM(D166:D169)</f>
        <v>57732.899999999994</v>
      </c>
      <c r="E170" s="267">
        <f>D170-C170</f>
        <v>57732.899999999994</v>
      </c>
    </row>
    <row r="171" spans="1:5" x14ac:dyDescent="0.2">
      <c r="A171" s="264" t="s">
        <v>220</v>
      </c>
      <c r="B171" s="264" t="s">
        <v>222</v>
      </c>
      <c r="C171" s="264" t="s">
        <v>222</v>
      </c>
      <c r="D171" s="264" t="s">
        <v>220</v>
      </c>
      <c r="E171" s="264" t="s">
        <v>220</v>
      </c>
    </row>
    <row r="172" spans="1:5" ht="15" x14ac:dyDescent="0.25">
      <c r="A172" s="264" t="s">
        <v>220</v>
      </c>
      <c r="B172" s="265" t="s">
        <v>14</v>
      </c>
      <c r="C172" s="264" t="s">
        <v>222</v>
      </c>
      <c r="D172" s="264" t="s">
        <v>220</v>
      </c>
      <c r="E172" s="264" t="s">
        <v>220</v>
      </c>
    </row>
    <row r="173" spans="1:5" x14ac:dyDescent="0.2">
      <c r="A173" s="264">
        <v>3410</v>
      </c>
      <c r="B173" s="264" t="s">
        <v>65</v>
      </c>
      <c r="C173" s="86">
        <v>0</v>
      </c>
      <c r="D173" s="86">
        <v>-90944.1</v>
      </c>
      <c r="E173" s="86">
        <f>D173-C173</f>
        <v>-90944.1</v>
      </c>
    </row>
    <row r="174" spans="1:5" x14ac:dyDescent="0.2">
      <c r="A174" s="264">
        <v>3420</v>
      </c>
      <c r="B174" s="264" t="s">
        <v>66</v>
      </c>
      <c r="C174" s="86">
        <v>0</v>
      </c>
      <c r="D174" s="86">
        <v>2066</v>
      </c>
      <c r="E174" s="86">
        <f>D174-C174</f>
        <v>2066</v>
      </c>
    </row>
    <row r="175" spans="1:5" x14ac:dyDescent="0.2">
      <c r="A175" s="264">
        <v>3430</v>
      </c>
      <c r="B175" s="264" t="s">
        <v>67</v>
      </c>
      <c r="C175" s="86">
        <v>0</v>
      </c>
      <c r="D175" s="86">
        <v>89252.41</v>
      </c>
      <c r="E175" s="86">
        <f>D175-C175</f>
        <v>89252.41</v>
      </c>
    </row>
    <row r="176" spans="1:5" ht="15" x14ac:dyDescent="0.25">
      <c r="A176" s="264" t="s">
        <v>220</v>
      </c>
      <c r="B176" s="265" t="s">
        <v>102</v>
      </c>
      <c r="C176" s="267">
        <f>SUM(C173:C175)</f>
        <v>0</v>
      </c>
      <c r="D176" s="267">
        <f>SUM(D173:D175)</f>
        <v>374.30999999999767</v>
      </c>
      <c r="E176" s="267">
        <f>D176-C176</f>
        <v>374.30999999999767</v>
      </c>
    </row>
    <row r="177" spans="1:5" x14ac:dyDescent="0.2">
      <c r="A177" s="264" t="s">
        <v>220</v>
      </c>
      <c r="B177" s="264" t="s">
        <v>222</v>
      </c>
      <c r="C177" s="264" t="s">
        <v>222</v>
      </c>
      <c r="D177" s="264" t="s">
        <v>220</v>
      </c>
      <c r="E177" s="264" t="s">
        <v>220</v>
      </c>
    </row>
    <row r="178" spans="1:5" ht="15" x14ac:dyDescent="0.25">
      <c r="A178" s="264" t="s">
        <v>220</v>
      </c>
      <c r="B178" s="265" t="s">
        <v>11</v>
      </c>
      <c r="C178" s="264" t="s">
        <v>222</v>
      </c>
      <c r="D178" s="264" t="s">
        <v>220</v>
      </c>
      <c r="E178" s="264" t="s">
        <v>220</v>
      </c>
    </row>
    <row r="179" spans="1:5" x14ac:dyDescent="0.2">
      <c r="A179" s="264">
        <v>3510</v>
      </c>
      <c r="B179" s="264" t="s">
        <v>68</v>
      </c>
      <c r="C179" s="86">
        <v>0</v>
      </c>
      <c r="D179" s="86">
        <v>-61322</v>
      </c>
      <c r="E179" s="86">
        <f>D179-C179</f>
        <v>-61322</v>
      </c>
    </row>
    <row r="180" spans="1:5" x14ac:dyDescent="0.2">
      <c r="A180" s="264">
        <v>3520</v>
      </c>
      <c r="B180" s="264" t="s">
        <v>69</v>
      </c>
      <c r="C180" s="86">
        <v>0</v>
      </c>
      <c r="D180" s="86">
        <v>-7007.88</v>
      </c>
      <c r="E180" s="86">
        <f>D180-C180</f>
        <v>-7007.88</v>
      </c>
    </row>
    <row r="181" spans="1:5" x14ac:dyDescent="0.2">
      <c r="A181" s="264">
        <v>3530</v>
      </c>
      <c r="B181" s="264" t="s">
        <v>70</v>
      </c>
      <c r="C181" s="86">
        <v>0</v>
      </c>
      <c r="D181" s="86">
        <v>68708.25</v>
      </c>
      <c r="E181" s="86">
        <f>D181-C181</f>
        <v>68708.25</v>
      </c>
    </row>
    <row r="182" spans="1:5" ht="15" x14ac:dyDescent="0.25">
      <c r="A182" s="264" t="s">
        <v>220</v>
      </c>
      <c r="B182" s="265" t="s">
        <v>103</v>
      </c>
      <c r="C182" s="267">
        <f>SUM(C179:C181)</f>
        <v>0</v>
      </c>
      <c r="D182" s="267">
        <f>SUM(D179:D181)</f>
        <v>378.36999999999534</v>
      </c>
      <c r="E182" s="267">
        <f>D182-C182</f>
        <v>378.36999999999534</v>
      </c>
    </row>
    <row r="183" spans="1:5" x14ac:dyDescent="0.2">
      <c r="A183" s="264" t="s">
        <v>220</v>
      </c>
      <c r="B183" s="264" t="s">
        <v>222</v>
      </c>
      <c r="C183" s="264" t="s">
        <v>222</v>
      </c>
      <c r="D183" s="264" t="s">
        <v>220</v>
      </c>
      <c r="E183" s="264" t="s">
        <v>220</v>
      </c>
    </row>
    <row r="184" spans="1:5" ht="15" x14ac:dyDescent="0.25">
      <c r="A184" s="264" t="s">
        <v>220</v>
      </c>
      <c r="B184" s="265" t="s">
        <v>5</v>
      </c>
      <c r="C184" s="264" t="s">
        <v>222</v>
      </c>
      <c r="D184" s="264" t="s">
        <v>220</v>
      </c>
      <c r="E184" s="264" t="s">
        <v>220</v>
      </c>
    </row>
    <row r="185" spans="1:5" x14ac:dyDescent="0.2">
      <c r="A185" s="264">
        <v>3610</v>
      </c>
      <c r="B185" s="264" t="s">
        <v>215</v>
      </c>
      <c r="C185" s="86">
        <v>0</v>
      </c>
      <c r="D185" s="86">
        <v>-13415.5</v>
      </c>
      <c r="E185" s="86">
        <f>D185-C185</f>
        <v>-13415.5</v>
      </c>
    </row>
    <row r="186" spans="1:5" x14ac:dyDescent="0.2">
      <c r="A186" s="264">
        <v>3620</v>
      </c>
      <c r="B186" s="264" t="s">
        <v>216</v>
      </c>
      <c r="C186" s="86">
        <v>0</v>
      </c>
      <c r="D186" s="86">
        <v>-7170.5</v>
      </c>
      <c r="E186" s="86">
        <f>D186-C186</f>
        <v>-7170.5</v>
      </c>
    </row>
    <row r="187" spans="1:5" x14ac:dyDescent="0.2">
      <c r="A187" s="264">
        <v>3625</v>
      </c>
      <c r="B187" s="264" t="s">
        <v>179</v>
      </c>
      <c r="C187" s="86">
        <v>0</v>
      </c>
      <c r="D187" s="86">
        <v>2402.64</v>
      </c>
      <c r="E187" s="86">
        <f>D187-C187</f>
        <v>2402.64</v>
      </c>
    </row>
    <row r="188" spans="1:5" x14ac:dyDescent="0.2">
      <c r="A188" s="264">
        <v>3630</v>
      </c>
      <c r="B188" s="264" t="s">
        <v>71</v>
      </c>
      <c r="C188" s="86">
        <v>0</v>
      </c>
      <c r="D188" s="86">
        <v>17970.310000000001</v>
      </c>
      <c r="E188" s="86">
        <f>D188-C188</f>
        <v>17970.310000000001</v>
      </c>
    </row>
    <row r="189" spans="1:5" ht="15" x14ac:dyDescent="0.25">
      <c r="A189" s="264" t="s">
        <v>220</v>
      </c>
      <c r="B189" s="265" t="s">
        <v>104</v>
      </c>
      <c r="C189" s="267">
        <f>SUM(C185:C188)</f>
        <v>0</v>
      </c>
      <c r="D189" s="267">
        <f>SUM(D185:D188)</f>
        <v>-213.04999999999927</v>
      </c>
      <c r="E189" s="267">
        <f>D189-C189</f>
        <v>-213.04999999999927</v>
      </c>
    </row>
    <row r="190" spans="1:5" x14ac:dyDescent="0.2">
      <c r="A190" s="264" t="s">
        <v>220</v>
      </c>
      <c r="B190" s="264" t="s">
        <v>222</v>
      </c>
      <c r="C190" s="264" t="s">
        <v>222</v>
      </c>
      <c r="D190" s="264" t="s">
        <v>220</v>
      </c>
      <c r="E190" s="264" t="s">
        <v>220</v>
      </c>
    </row>
    <row r="191" spans="1:5" ht="15" x14ac:dyDescent="0.25">
      <c r="A191" s="264" t="s">
        <v>220</v>
      </c>
      <c r="B191" s="265" t="s">
        <v>266</v>
      </c>
      <c r="C191" s="264" t="s">
        <v>222</v>
      </c>
      <c r="D191" s="264" t="s">
        <v>220</v>
      </c>
      <c r="E191" s="264" t="s">
        <v>220</v>
      </c>
    </row>
    <row r="192" spans="1:5" x14ac:dyDescent="0.2">
      <c r="A192" s="264">
        <v>3710</v>
      </c>
      <c r="B192" s="264" t="s">
        <v>266</v>
      </c>
      <c r="C192" s="86">
        <v>0</v>
      </c>
      <c r="D192" s="86">
        <v>0</v>
      </c>
      <c r="E192" s="86">
        <f t="shared" ref="E192:E206" si="11">D192-C192</f>
        <v>0</v>
      </c>
    </row>
    <row r="193" spans="1:5" x14ac:dyDescent="0.2">
      <c r="A193" s="264">
        <v>3720</v>
      </c>
      <c r="B193" s="264" t="s">
        <v>266</v>
      </c>
      <c r="C193" s="86">
        <v>0</v>
      </c>
      <c r="D193" s="86">
        <v>0</v>
      </c>
      <c r="E193" s="86">
        <f t="shared" si="11"/>
        <v>0</v>
      </c>
    </row>
    <row r="194" spans="1:5" x14ac:dyDescent="0.2">
      <c r="A194" s="264">
        <v>3725</v>
      </c>
      <c r="B194" s="264" t="s">
        <v>266</v>
      </c>
      <c r="C194" s="86">
        <v>0</v>
      </c>
      <c r="D194" s="86">
        <v>0</v>
      </c>
      <c r="E194" s="86">
        <f t="shared" si="11"/>
        <v>0</v>
      </c>
    </row>
    <row r="195" spans="1:5" ht="15" x14ac:dyDescent="0.25">
      <c r="A195" s="264" t="s">
        <v>220</v>
      </c>
      <c r="B195" s="265" t="s">
        <v>266</v>
      </c>
      <c r="C195" s="267">
        <f>SUM(C192:C194)</f>
        <v>0</v>
      </c>
      <c r="D195" s="267">
        <f>SUM(D192:D194)</f>
        <v>0</v>
      </c>
      <c r="E195" s="267">
        <f t="shared" si="11"/>
        <v>0</v>
      </c>
    </row>
    <row r="196" spans="1:5" x14ac:dyDescent="0.2">
      <c r="A196" s="264">
        <v>3730</v>
      </c>
      <c r="B196" s="264" t="s">
        <v>266</v>
      </c>
      <c r="C196" s="86">
        <v>0</v>
      </c>
      <c r="D196" s="86">
        <v>0</v>
      </c>
      <c r="E196" s="86">
        <f t="shared" si="11"/>
        <v>0</v>
      </c>
    </row>
    <row r="197" spans="1:5" x14ac:dyDescent="0.2">
      <c r="A197" s="264">
        <v>3732</v>
      </c>
      <c r="B197" s="264" t="s">
        <v>266</v>
      </c>
      <c r="C197" s="86">
        <v>0</v>
      </c>
      <c r="D197" s="86">
        <v>0</v>
      </c>
      <c r="E197" s="86">
        <f t="shared" si="11"/>
        <v>0</v>
      </c>
    </row>
    <row r="198" spans="1:5" x14ac:dyDescent="0.2">
      <c r="A198" s="264">
        <v>3733</v>
      </c>
      <c r="B198" s="264" t="s">
        <v>266</v>
      </c>
      <c r="C198" s="86">
        <v>0</v>
      </c>
      <c r="D198" s="86">
        <v>0</v>
      </c>
      <c r="E198" s="86">
        <f t="shared" si="11"/>
        <v>0</v>
      </c>
    </row>
    <row r="199" spans="1:5" x14ac:dyDescent="0.2">
      <c r="A199" s="264">
        <v>3735</v>
      </c>
      <c r="B199" s="264" t="s">
        <v>266</v>
      </c>
      <c r="C199" s="86">
        <v>0</v>
      </c>
      <c r="D199" s="86">
        <v>0</v>
      </c>
      <c r="E199" s="86">
        <f t="shared" si="11"/>
        <v>0</v>
      </c>
    </row>
    <row r="200" spans="1:5" x14ac:dyDescent="0.2">
      <c r="A200" s="264">
        <v>3740</v>
      </c>
      <c r="B200" s="264" t="s">
        <v>266</v>
      </c>
      <c r="C200" s="86">
        <v>0</v>
      </c>
      <c r="D200" s="86">
        <v>0</v>
      </c>
      <c r="E200" s="86">
        <f t="shared" si="11"/>
        <v>0</v>
      </c>
    </row>
    <row r="201" spans="1:5" x14ac:dyDescent="0.2">
      <c r="A201" s="264">
        <v>3750</v>
      </c>
      <c r="B201" s="264" t="s">
        <v>266</v>
      </c>
      <c r="C201" s="86">
        <v>0</v>
      </c>
      <c r="D201" s="86">
        <v>0</v>
      </c>
      <c r="E201" s="86">
        <f t="shared" si="11"/>
        <v>0</v>
      </c>
    </row>
    <row r="202" spans="1:5" x14ac:dyDescent="0.2">
      <c r="A202" s="264">
        <v>3760</v>
      </c>
      <c r="B202" s="264" t="s">
        <v>266</v>
      </c>
      <c r="C202" s="86">
        <v>0</v>
      </c>
      <c r="D202" s="86">
        <v>0</v>
      </c>
      <c r="E202" s="86">
        <f t="shared" si="11"/>
        <v>0</v>
      </c>
    </row>
    <row r="203" spans="1:5" ht="15" x14ac:dyDescent="0.25">
      <c r="A203" s="264" t="s">
        <v>220</v>
      </c>
      <c r="B203" s="265" t="s">
        <v>266</v>
      </c>
      <c r="C203" s="267">
        <f>SUM(C196:C202)</f>
        <v>0</v>
      </c>
      <c r="D203" s="267">
        <f>SUM(D196:D202)</f>
        <v>0</v>
      </c>
      <c r="E203" s="267">
        <f t="shared" si="11"/>
        <v>0</v>
      </c>
    </row>
    <row r="204" spans="1:5" ht="15" x14ac:dyDescent="0.25">
      <c r="A204" s="264" t="s">
        <v>220</v>
      </c>
      <c r="B204" s="265" t="s">
        <v>266</v>
      </c>
      <c r="C204" s="267">
        <f>SUM(C192:C194)+SUM(C196:C202)</f>
        <v>0</v>
      </c>
      <c r="D204" s="267">
        <f>SUM(D192:D194)+SUM(D196:D202)</f>
        <v>0</v>
      </c>
      <c r="E204" s="267">
        <f t="shared" si="11"/>
        <v>0</v>
      </c>
    </row>
    <row r="205" spans="1:5" x14ac:dyDescent="0.2">
      <c r="A205" s="264">
        <v>3797</v>
      </c>
      <c r="B205" s="264" t="s">
        <v>266</v>
      </c>
      <c r="C205" s="86">
        <v>0</v>
      </c>
      <c r="D205" s="86">
        <v>0</v>
      </c>
      <c r="E205" s="86">
        <f t="shared" si="11"/>
        <v>0</v>
      </c>
    </row>
    <row r="206" spans="1:5" ht="15" x14ac:dyDescent="0.25">
      <c r="A206" s="264" t="s">
        <v>220</v>
      </c>
      <c r="B206" s="265" t="s">
        <v>266</v>
      </c>
      <c r="C206" s="267">
        <f>SUM(C192:C194)+SUM(C196:C202)+SUM(C205:C205)</f>
        <v>0</v>
      </c>
      <c r="D206" s="267">
        <f>SUM(D192:D194)+SUM(D196:D202)+SUM(D205:D205)</f>
        <v>0</v>
      </c>
      <c r="E206" s="267">
        <f t="shared" si="11"/>
        <v>0</v>
      </c>
    </row>
    <row r="207" spans="1:5" x14ac:dyDescent="0.2">
      <c r="A207" s="264" t="s">
        <v>220</v>
      </c>
      <c r="B207" s="264" t="s">
        <v>222</v>
      </c>
      <c r="C207" s="264" t="s">
        <v>222</v>
      </c>
      <c r="D207" s="264" t="s">
        <v>220</v>
      </c>
      <c r="E207" s="264" t="s">
        <v>220</v>
      </c>
    </row>
    <row r="208" spans="1:5" ht="15" x14ac:dyDescent="0.25">
      <c r="A208" s="264" t="s">
        <v>220</v>
      </c>
      <c r="B208" s="265" t="s">
        <v>162</v>
      </c>
      <c r="C208" s="264" t="s">
        <v>222</v>
      </c>
      <c r="D208" s="264" t="s">
        <v>220</v>
      </c>
      <c r="E208" s="264" t="s">
        <v>220</v>
      </c>
    </row>
    <row r="209" spans="1:5" x14ac:dyDescent="0.2">
      <c r="A209" s="264">
        <v>3910</v>
      </c>
      <c r="B209" s="264" t="s">
        <v>164</v>
      </c>
      <c r="C209" s="86">
        <v>0</v>
      </c>
      <c r="D209" s="86">
        <v>-519.99</v>
      </c>
      <c r="E209" s="86">
        <f t="shared" ref="E209:E214" si="12">D209-C209</f>
        <v>-519.99</v>
      </c>
    </row>
    <row r="210" spans="1:5" x14ac:dyDescent="0.2">
      <c r="A210" s="264">
        <v>3920</v>
      </c>
      <c r="B210" s="264" t="s">
        <v>217</v>
      </c>
      <c r="C210" s="86">
        <v>0</v>
      </c>
      <c r="D210" s="86">
        <v>-752.5</v>
      </c>
      <c r="E210" s="86">
        <f t="shared" si="12"/>
        <v>-752.5</v>
      </c>
    </row>
    <row r="211" spans="1:5" x14ac:dyDescent="0.2">
      <c r="A211" s="264">
        <v>3930</v>
      </c>
      <c r="B211" s="264" t="s">
        <v>165</v>
      </c>
      <c r="C211" s="86">
        <v>0</v>
      </c>
      <c r="D211" s="86">
        <v>1272.5</v>
      </c>
      <c r="E211" s="86">
        <f t="shared" si="12"/>
        <v>1272.5</v>
      </c>
    </row>
    <row r="212" spans="1:5" ht="15" x14ac:dyDescent="0.25">
      <c r="A212" s="264" t="s">
        <v>220</v>
      </c>
      <c r="B212" s="265" t="s">
        <v>166</v>
      </c>
      <c r="C212" s="267">
        <f>SUM(C209:C211)</f>
        <v>0</v>
      </c>
      <c r="D212" s="267">
        <f>SUM(D209:D211)</f>
        <v>9.9999999999909051E-3</v>
      </c>
      <c r="E212" s="267">
        <f t="shared" si="12"/>
        <v>9.9999999999909051E-3</v>
      </c>
    </row>
    <row r="213" spans="1:5" ht="15" x14ac:dyDescent="0.25">
      <c r="A213" s="264" t="s">
        <v>220</v>
      </c>
      <c r="B213" s="265" t="s">
        <v>163</v>
      </c>
      <c r="C213" s="267">
        <f>SUM(C149:C155)+SUM(C159:C162)+SUM(C166:C169)+SUM(C173:C175)+SUM(C179:C181)+SUM(C185:C188)+SUM(C192:C194)+SUM(C196:C202)+SUM(C205:C205)+SUM(C209:C211)</f>
        <v>0</v>
      </c>
      <c r="D213" s="267">
        <f>SUM(D149:D155)+SUM(D159:D162)+SUM(D166:D169)+SUM(D173:D175)+SUM(D179:D181)+SUM(D185:D188)+SUM(D192:D194)+SUM(D196:D202)+SUM(D205:D205)+SUM(D209:D211)</f>
        <v>49899.949999999975</v>
      </c>
      <c r="E213" s="267">
        <f t="shared" si="12"/>
        <v>49899.949999999975</v>
      </c>
    </row>
    <row r="214" spans="1:5" ht="15" x14ac:dyDescent="0.25">
      <c r="A214" s="264" t="s">
        <v>220</v>
      </c>
      <c r="B214" s="265" t="s">
        <v>105</v>
      </c>
      <c r="C214" s="267">
        <f>SUM(C9:C12)+SUM(C18:C24)+SUM(C28:C35)+SUM(C39:C48)+SUM(C52:C55)+SUM(C57:C59)+SUM(C62:C67)+SUM(C71:C81)+SUM(C85:C85)+SUM(C90:C91)+SUM(C94:C100)+SUM(C104:C105)+SUM(C109:C113)+SUM(C117:C122)+SUM(C126:C128)+SUM(C132:C133)+SUM(C137:C140)+SUM(C149:C155)+SUM(C159:C162)+SUM(C166:C169)+SUM(C173:C175)+SUM(C179:C181)+SUM(C185:C188)+SUM(C192:C194)+SUM(C196:C202)+SUM(C205:C205)+SUM(C209:C211)</f>
        <v>-1927.4800000000105</v>
      </c>
      <c r="D214" s="267">
        <f>SUM(D9:D12)+SUM(D18:D24)+SUM(D28:D35)+SUM(D39:D48)+SUM(D52:D55)+SUM(D57:D59)+SUM(D62:D67)+SUM(D71:D81)+SUM(D85:D85)+SUM(D90:D91)+SUM(D94:D100)+SUM(D104:D105)+SUM(D109:D113)+SUM(D117:D122)+SUM(D126:D128)+SUM(D132:D133)+SUM(D137:D140)+SUM(D149:D155)+SUM(D159:D162)+SUM(D166:D169)+SUM(D173:D175)+SUM(D179:D181)+SUM(D185:D188)+SUM(D192:D194)+SUM(D196:D202)+SUM(D205:D205)+SUM(D209:D211)</f>
        <v>24722.09999999994</v>
      </c>
      <c r="E214" s="267">
        <f t="shared" si="12"/>
        <v>26649.579999999951</v>
      </c>
    </row>
    <row r="215" spans="1:5" x14ac:dyDescent="0.2">
      <c r="A215" s="264" t="s">
        <v>220</v>
      </c>
    </row>
    <row r="216" spans="1:5" ht="15" x14ac:dyDescent="0.25">
      <c r="A216" s="264" t="s">
        <v>220</v>
      </c>
      <c r="B216" s="265" t="s">
        <v>106</v>
      </c>
      <c r="C216" s="264" t="s">
        <v>222</v>
      </c>
      <c r="D216" s="264" t="s">
        <v>220</v>
      </c>
      <c r="E216" s="264" t="s">
        <v>220</v>
      </c>
    </row>
    <row r="217" spans="1:5" x14ac:dyDescent="0.2">
      <c r="A217" s="264" t="s">
        <v>220</v>
      </c>
      <c r="B217" s="264" t="s">
        <v>222</v>
      </c>
      <c r="C217" s="264" t="s">
        <v>222</v>
      </c>
      <c r="D217" s="264" t="s">
        <v>220</v>
      </c>
      <c r="E217" s="264" t="s">
        <v>220</v>
      </c>
    </row>
    <row r="218" spans="1:5" ht="15" x14ac:dyDescent="0.25">
      <c r="A218" s="264" t="s">
        <v>220</v>
      </c>
      <c r="B218" s="265" t="s">
        <v>107</v>
      </c>
      <c r="C218" s="264" t="s">
        <v>222</v>
      </c>
      <c r="D218" s="264" t="s">
        <v>220</v>
      </c>
      <c r="E218" s="264" t="s">
        <v>220</v>
      </c>
    </row>
    <row r="219" spans="1:5" x14ac:dyDescent="0.2">
      <c r="A219" s="264" t="s">
        <v>220</v>
      </c>
      <c r="B219" s="264" t="s">
        <v>222</v>
      </c>
      <c r="C219" s="264" t="s">
        <v>222</v>
      </c>
      <c r="D219" s="264" t="s">
        <v>220</v>
      </c>
      <c r="E219" s="264" t="s">
        <v>220</v>
      </c>
    </row>
    <row r="220" spans="1:5" ht="15" x14ac:dyDescent="0.25">
      <c r="A220" s="264" t="s">
        <v>220</v>
      </c>
      <c r="B220" s="265" t="s">
        <v>269</v>
      </c>
      <c r="C220" s="264" t="s">
        <v>222</v>
      </c>
      <c r="D220" s="264" t="s">
        <v>220</v>
      </c>
      <c r="E220" s="264" t="s">
        <v>220</v>
      </c>
    </row>
    <row r="221" spans="1:5" x14ac:dyDescent="0.2">
      <c r="A221" s="264">
        <v>5101</v>
      </c>
      <c r="B221" s="264" t="s">
        <v>290</v>
      </c>
      <c r="C221" s="86">
        <v>0</v>
      </c>
      <c r="D221" s="86">
        <v>86303.75</v>
      </c>
      <c r="E221" s="86">
        <f t="shared" ref="E221:E227" si="13">D221-C221</f>
        <v>86303.75</v>
      </c>
    </row>
    <row r="222" spans="1:5" x14ac:dyDescent="0.2">
      <c r="A222" s="264">
        <v>5102</v>
      </c>
      <c r="B222" s="264" t="s">
        <v>42</v>
      </c>
      <c r="C222" s="86">
        <v>0</v>
      </c>
      <c r="D222" s="86">
        <v>0</v>
      </c>
      <c r="E222" s="86">
        <f t="shared" si="13"/>
        <v>0</v>
      </c>
    </row>
    <row r="223" spans="1:5" x14ac:dyDescent="0.2">
      <c r="A223" s="264">
        <v>5104</v>
      </c>
      <c r="B223" s="264" t="s">
        <v>234</v>
      </c>
      <c r="C223" s="86">
        <v>0</v>
      </c>
      <c r="D223" s="86">
        <v>599999.87</v>
      </c>
      <c r="E223" s="86">
        <f t="shared" si="13"/>
        <v>599999.87</v>
      </c>
    </row>
    <row r="224" spans="1:5" x14ac:dyDescent="0.2">
      <c r="A224" s="264">
        <v>5106</v>
      </c>
      <c r="B224" s="264" t="s">
        <v>249</v>
      </c>
      <c r="C224" s="86">
        <v>0</v>
      </c>
      <c r="D224" s="86">
        <v>109993.42</v>
      </c>
      <c r="E224" s="86">
        <f t="shared" si="13"/>
        <v>109993.42</v>
      </c>
    </row>
    <row r="225" spans="1:5" x14ac:dyDescent="0.2">
      <c r="A225" s="264">
        <v>5108</v>
      </c>
      <c r="B225" s="264" t="s">
        <v>266</v>
      </c>
      <c r="C225" s="86">
        <v>0</v>
      </c>
      <c r="D225" s="86">
        <v>0</v>
      </c>
      <c r="E225" s="86">
        <f t="shared" si="13"/>
        <v>0</v>
      </c>
    </row>
    <row r="226" spans="1:5" x14ac:dyDescent="0.2">
      <c r="A226" s="264">
        <v>5110</v>
      </c>
      <c r="B226" s="264" t="s">
        <v>274</v>
      </c>
      <c r="C226" s="86">
        <v>0</v>
      </c>
      <c r="D226" s="86">
        <v>142230.6</v>
      </c>
      <c r="E226" s="86">
        <f t="shared" si="13"/>
        <v>142230.6</v>
      </c>
    </row>
    <row r="227" spans="1:5" ht="15" x14ac:dyDescent="0.25">
      <c r="A227" s="264" t="s">
        <v>220</v>
      </c>
      <c r="B227" s="265" t="s">
        <v>271</v>
      </c>
      <c r="C227" s="267">
        <f>SUM(C221:C226)</f>
        <v>0</v>
      </c>
      <c r="D227" s="267">
        <f>SUM(D221:D226)</f>
        <v>938527.64</v>
      </c>
      <c r="E227" s="267">
        <f t="shared" si="13"/>
        <v>938527.64</v>
      </c>
    </row>
    <row r="228" spans="1:5" x14ac:dyDescent="0.2">
      <c r="A228" s="264" t="s">
        <v>220</v>
      </c>
      <c r="B228" s="264" t="s">
        <v>222</v>
      </c>
      <c r="C228" s="264" t="s">
        <v>222</v>
      </c>
      <c r="D228" s="264" t="s">
        <v>220</v>
      </c>
      <c r="E228" s="264" t="s">
        <v>220</v>
      </c>
    </row>
    <row r="229" spans="1:5" ht="15" x14ac:dyDescent="0.25">
      <c r="A229" s="264" t="s">
        <v>220</v>
      </c>
      <c r="B229" s="265" t="s">
        <v>108</v>
      </c>
      <c r="C229" s="264" t="s">
        <v>222</v>
      </c>
      <c r="D229" s="264" t="s">
        <v>220</v>
      </c>
      <c r="E229" s="264" t="s">
        <v>220</v>
      </c>
    </row>
    <row r="230" spans="1:5" x14ac:dyDescent="0.2">
      <c r="A230" s="264">
        <v>5221</v>
      </c>
      <c r="B230" s="264" t="s">
        <v>152</v>
      </c>
      <c r="C230" s="86">
        <v>0</v>
      </c>
      <c r="D230" s="86">
        <v>690000</v>
      </c>
      <c r="E230" s="86">
        <f t="shared" ref="E230:E236" si="14">D230-C230</f>
        <v>690000</v>
      </c>
    </row>
    <row r="231" spans="1:5" x14ac:dyDescent="0.2">
      <c r="A231" s="264">
        <v>5222</v>
      </c>
      <c r="B231" s="264" t="s">
        <v>266</v>
      </c>
      <c r="C231" s="86">
        <v>0</v>
      </c>
      <c r="D231" s="86">
        <v>0</v>
      </c>
      <c r="E231" s="86">
        <f t="shared" si="14"/>
        <v>0</v>
      </c>
    </row>
    <row r="232" spans="1:5" x14ac:dyDescent="0.2">
      <c r="A232" s="264">
        <v>5223</v>
      </c>
      <c r="B232" s="264" t="s">
        <v>153</v>
      </c>
      <c r="C232" s="86">
        <v>0</v>
      </c>
      <c r="D232" s="86">
        <v>2350000</v>
      </c>
      <c r="E232" s="86">
        <f t="shared" si="14"/>
        <v>2350000</v>
      </c>
    </row>
    <row r="233" spans="1:5" ht="15" x14ac:dyDescent="0.25">
      <c r="A233" s="264" t="s">
        <v>220</v>
      </c>
      <c r="B233" s="265" t="s">
        <v>109</v>
      </c>
      <c r="C233" s="267">
        <f>SUM(C230:C232)</f>
        <v>0</v>
      </c>
      <c r="D233" s="267">
        <f>SUM(D230:D232)</f>
        <v>3040000</v>
      </c>
      <c r="E233" s="267">
        <f t="shared" si="14"/>
        <v>3040000</v>
      </c>
    </row>
    <row r="234" spans="1:5" x14ac:dyDescent="0.2">
      <c r="A234" s="264">
        <v>5300</v>
      </c>
      <c r="B234" s="264" t="s">
        <v>266</v>
      </c>
      <c r="C234" s="86">
        <v>0</v>
      </c>
      <c r="D234" s="86">
        <v>0</v>
      </c>
      <c r="E234" s="86">
        <f t="shared" si="14"/>
        <v>0</v>
      </c>
    </row>
    <row r="235" spans="1:5" x14ac:dyDescent="0.2">
      <c r="A235" s="264">
        <v>5310</v>
      </c>
      <c r="B235" s="264" t="s">
        <v>246</v>
      </c>
      <c r="C235" s="86">
        <v>0</v>
      </c>
      <c r="D235" s="86">
        <v>3052820.64</v>
      </c>
      <c r="E235" s="86">
        <f t="shared" si="14"/>
        <v>3052820.64</v>
      </c>
    </row>
    <row r="236" spans="1:5" ht="15" x14ac:dyDescent="0.25">
      <c r="A236" s="264" t="s">
        <v>220</v>
      </c>
      <c r="B236" s="265" t="s">
        <v>110</v>
      </c>
      <c r="C236" s="267">
        <f>SUM(C221:C226)+SUM(C230:C232)+SUM(C234:C235)</f>
        <v>0</v>
      </c>
      <c r="D236" s="267">
        <f>SUM(D221:D226)+SUM(D230:D232)+SUM(D234:D235)</f>
        <v>7031348.2800000003</v>
      </c>
      <c r="E236" s="267">
        <f t="shared" si="14"/>
        <v>7031348.2800000003</v>
      </c>
    </row>
    <row r="237" spans="1:5" x14ac:dyDescent="0.2">
      <c r="A237" s="264" t="s">
        <v>220</v>
      </c>
      <c r="B237" s="264" t="s">
        <v>222</v>
      </c>
      <c r="C237" s="264" t="s">
        <v>222</v>
      </c>
      <c r="D237" s="264" t="s">
        <v>220</v>
      </c>
      <c r="E237" s="264" t="s">
        <v>220</v>
      </c>
    </row>
    <row r="238" spans="1:5" ht="15" x14ac:dyDescent="0.25">
      <c r="A238" s="264" t="s">
        <v>220</v>
      </c>
      <c r="B238" s="265" t="s">
        <v>111</v>
      </c>
      <c r="C238" s="264" t="s">
        <v>222</v>
      </c>
      <c r="D238" s="264" t="s">
        <v>220</v>
      </c>
      <c r="E238" s="264" t="s">
        <v>220</v>
      </c>
    </row>
    <row r="239" spans="1:5" x14ac:dyDescent="0.2">
      <c r="A239" s="264" t="s">
        <v>220</v>
      </c>
      <c r="B239" s="264" t="s">
        <v>222</v>
      </c>
      <c r="C239" s="264" t="s">
        <v>222</v>
      </c>
      <c r="D239" s="264" t="s">
        <v>220</v>
      </c>
      <c r="E239" s="264" t="s">
        <v>220</v>
      </c>
    </row>
    <row r="240" spans="1:5" ht="15" x14ac:dyDescent="0.25">
      <c r="A240" s="264" t="s">
        <v>220</v>
      </c>
      <c r="B240" s="265" t="s">
        <v>112</v>
      </c>
      <c r="C240" s="264" t="s">
        <v>222</v>
      </c>
      <c r="D240" s="264" t="s">
        <v>220</v>
      </c>
      <c r="E240" s="264" t="s">
        <v>220</v>
      </c>
    </row>
    <row r="241" spans="1:5" x14ac:dyDescent="0.2">
      <c r="A241" s="264">
        <v>5420</v>
      </c>
      <c r="B241" s="264" t="s">
        <v>112</v>
      </c>
      <c r="C241" s="86">
        <v>0</v>
      </c>
      <c r="D241" s="86">
        <v>22917.87</v>
      </c>
      <c r="E241" s="86">
        <f>D241-C241</f>
        <v>22917.87</v>
      </c>
    </row>
    <row r="242" spans="1:5" ht="15" x14ac:dyDescent="0.25">
      <c r="A242" s="264" t="s">
        <v>220</v>
      </c>
      <c r="B242" s="265" t="s">
        <v>113</v>
      </c>
      <c r="C242" s="267">
        <f>SUM(C241:C241)</f>
        <v>0</v>
      </c>
      <c r="D242" s="267">
        <f>SUM(D241:D241)</f>
        <v>22917.87</v>
      </c>
      <c r="E242" s="267">
        <f>D242-C242</f>
        <v>22917.87</v>
      </c>
    </row>
    <row r="243" spans="1:5" x14ac:dyDescent="0.2">
      <c r="A243" s="264" t="s">
        <v>220</v>
      </c>
      <c r="B243" s="264" t="s">
        <v>222</v>
      </c>
      <c r="C243" s="264" t="s">
        <v>222</v>
      </c>
      <c r="D243" s="264" t="s">
        <v>220</v>
      </c>
      <c r="E243" s="264" t="s">
        <v>220</v>
      </c>
    </row>
    <row r="244" spans="1:5" ht="15" x14ac:dyDescent="0.25">
      <c r="A244" s="264" t="s">
        <v>220</v>
      </c>
      <c r="B244" s="265" t="s">
        <v>114</v>
      </c>
      <c r="C244" s="264" t="s">
        <v>222</v>
      </c>
      <c r="D244" s="264" t="s">
        <v>220</v>
      </c>
      <c r="E244" s="264" t="s">
        <v>220</v>
      </c>
    </row>
    <row r="245" spans="1:5" x14ac:dyDescent="0.2">
      <c r="A245" s="264">
        <v>5519</v>
      </c>
      <c r="B245" s="264" t="s">
        <v>115</v>
      </c>
      <c r="C245" s="86">
        <v>0</v>
      </c>
      <c r="D245" s="86">
        <v>0</v>
      </c>
      <c r="E245" s="86">
        <f t="shared" ref="E245:E257" si="15">D245-C245</f>
        <v>0</v>
      </c>
    </row>
    <row r="246" spans="1:5" x14ac:dyDescent="0.2">
      <c r="A246" s="264">
        <v>5520</v>
      </c>
      <c r="B246" s="264" t="s">
        <v>266</v>
      </c>
      <c r="C246" s="86">
        <v>0</v>
      </c>
      <c r="D246" s="86">
        <v>0</v>
      </c>
      <c r="E246" s="86">
        <f t="shared" si="15"/>
        <v>0</v>
      </c>
    </row>
    <row r="247" spans="1:5" x14ac:dyDescent="0.2">
      <c r="A247" s="264">
        <v>5530</v>
      </c>
      <c r="B247" s="264" t="s">
        <v>266</v>
      </c>
      <c r="C247" s="86">
        <v>0</v>
      </c>
      <c r="D247" s="86">
        <v>0</v>
      </c>
      <c r="E247" s="86">
        <f t="shared" si="15"/>
        <v>0</v>
      </c>
    </row>
    <row r="248" spans="1:5" x14ac:dyDescent="0.2">
      <c r="A248" s="264">
        <v>5540</v>
      </c>
      <c r="B248" s="264" t="s">
        <v>266</v>
      </c>
      <c r="C248" s="86">
        <v>0</v>
      </c>
      <c r="D248" s="86">
        <v>0</v>
      </c>
      <c r="E248" s="86">
        <f t="shared" si="15"/>
        <v>0</v>
      </c>
    </row>
    <row r="249" spans="1:5" x14ac:dyDescent="0.2">
      <c r="A249" s="264">
        <v>5545</v>
      </c>
      <c r="B249" s="264" t="s">
        <v>266</v>
      </c>
      <c r="C249" s="86">
        <v>0</v>
      </c>
      <c r="D249" s="86">
        <v>0</v>
      </c>
      <c r="E249" s="86">
        <f t="shared" si="15"/>
        <v>0</v>
      </c>
    </row>
    <row r="250" spans="1:5" x14ac:dyDescent="0.2">
      <c r="A250" s="264">
        <v>5550</v>
      </c>
      <c r="B250" s="264" t="s">
        <v>266</v>
      </c>
      <c r="C250" s="86">
        <v>0</v>
      </c>
      <c r="D250" s="86">
        <v>0</v>
      </c>
      <c r="E250" s="86">
        <f t="shared" si="15"/>
        <v>0</v>
      </c>
    </row>
    <row r="251" spans="1:5" x14ac:dyDescent="0.2">
      <c r="A251" s="264">
        <v>5560</v>
      </c>
      <c r="B251" s="264" t="s">
        <v>266</v>
      </c>
      <c r="C251" s="86">
        <v>0</v>
      </c>
      <c r="D251" s="86">
        <v>0</v>
      </c>
      <c r="E251" s="86">
        <f t="shared" si="15"/>
        <v>0</v>
      </c>
    </row>
    <row r="252" spans="1:5" x14ac:dyDescent="0.2">
      <c r="A252" s="264">
        <v>5570</v>
      </c>
      <c r="B252" s="264" t="s">
        <v>116</v>
      </c>
      <c r="C252" s="86">
        <v>0</v>
      </c>
      <c r="D252" s="86">
        <v>8590</v>
      </c>
      <c r="E252" s="86">
        <f t="shared" si="15"/>
        <v>8590</v>
      </c>
    </row>
    <row r="253" spans="1:5" x14ac:dyDescent="0.2">
      <c r="A253" s="264">
        <v>5580</v>
      </c>
      <c r="B253" s="264" t="s">
        <v>180</v>
      </c>
      <c r="C253" s="86">
        <v>0</v>
      </c>
      <c r="D253" s="86">
        <v>12080.93</v>
      </c>
      <c r="E253" s="86">
        <f t="shared" si="15"/>
        <v>12080.93</v>
      </c>
    </row>
    <row r="254" spans="1:5" x14ac:dyDescent="0.2">
      <c r="A254" s="264">
        <v>5582</v>
      </c>
      <c r="B254" s="264" t="s">
        <v>181</v>
      </c>
      <c r="C254" s="86">
        <v>0</v>
      </c>
      <c r="D254" s="86">
        <v>0</v>
      </c>
      <c r="E254" s="86">
        <f t="shared" si="15"/>
        <v>0</v>
      </c>
    </row>
    <row r="255" spans="1:5" x14ac:dyDescent="0.2">
      <c r="A255" s="264">
        <v>5584</v>
      </c>
      <c r="B255" s="264" t="s">
        <v>182</v>
      </c>
      <c r="C255" s="86">
        <v>0</v>
      </c>
      <c r="D255" s="86">
        <v>6300</v>
      </c>
      <c r="E255" s="86">
        <f t="shared" si="15"/>
        <v>6300</v>
      </c>
    </row>
    <row r="256" spans="1:5" x14ac:dyDescent="0.2">
      <c r="A256" s="264">
        <v>5590</v>
      </c>
      <c r="B256" s="264" t="s">
        <v>203</v>
      </c>
      <c r="C256" s="86">
        <v>0</v>
      </c>
      <c r="D256" s="86">
        <v>0</v>
      </c>
      <c r="E256" s="86">
        <f t="shared" si="15"/>
        <v>0</v>
      </c>
    </row>
    <row r="257" spans="1:5" ht="15" x14ac:dyDescent="0.25">
      <c r="A257" s="264" t="s">
        <v>220</v>
      </c>
      <c r="B257" s="265" t="s">
        <v>117</v>
      </c>
      <c r="C257" s="267">
        <f>SUM(C245:C256)</f>
        <v>0</v>
      </c>
      <c r="D257" s="267">
        <f>SUM(D245:D256)</f>
        <v>26970.93</v>
      </c>
      <c r="E257" s="267">
        <f t="shared" si="15"/>
        <v>26970.93</v>
      </c>
    </row>
    <row r="258" spans="1:5" x14ac:dyDescent="0.2">
      <c r="A258" s="264" t="s">
        <v>220</v>
      </c>
      <c r="B258" s="264" t="s">
        <v>222</v>
      </c>
      <c r="C258" s="264" t="s">
        <v>222</v>
      </c>
      <c r="D258" s="264" t="s">
        <v>220</v>
      </c>
      <c r="E258" s="264" t="s">
        <v>220</v>
      </c>
    </row>
    <row r="259" spans="1:5" ht="15" x14ac:dyDescent="0.25">
      <c r="A259" s="264" t="s">
        <v>220</v>
      </c>
      <c r="B259" s="265" t="s">
        <v>118</v>
      </c>
      <c r="C259" s="264" t="s">
        <v>222</v>
      </c>
      <c r="D259" s="264" t="s">
        <v>220</v>
      </c>
      <c r="E259" s="264" t="s">
        <v>220</v>
      </c>
    </row>
    <row r="260" spans="1:5" x14ac:dyDescent="0.2">
      <c r="A260" s="264">
        <v>5910</v>
      </c>
      <c r="B260" s="264" t="s">
        <v>268</v>
      </c>
      <c r="C260" s="86">
        <v>0</v>
      </c>
      <c r="D260" s="86">
        <v>0</v>
      </c>
      <c r="E260" s="86">
        <f t="shared" ref="E260:E266" si="16">D260-C260</f>
        <v>0</v>
      </c>
    </row>
    <row r="261" spans="1:5" x14ac:dyDescent="0.2">
      <c r="A261" s="264">
        <v>5920</v>
      </c>
      <c r="B261" s="264" t="s">
        <v>266</v>
      </c>
      <c r="C261" s="86">
        <v>0</v>
      </c>
      <c r="D261" s="86">
        <v>0</v>
      </c>
      <c r="E261" s="86">
        <f t="shared" si="16"/>
        <v>0</v>
      </c>
    </row>
    <row r="262" spans="1:5" x14ac:dyDescent="0.2">
      <c r="A262" s="264">
        <v>5930</v>
      </c>
      <c r="B262" s="264" t="s">
        <v>266</v>
      </c>
      <c r="C262" s="86">
        <v>0</v>
      </c>
      <c r="D262" s="86">
        <v>0</v>
      </c>
      <c r="E262" s="86">
        <f t="shared" si="16"/>
        <v>0</v>
      </c>
    </row>
    <row r="263" spans="1:5" x14ac:dyDescent="0.2">
      <c r="A263" s="264">
        <v>5940</v>
      </c>
      <c r="B263" s="264" t="s">
        <v>193</v>
      </c>
      <c r="C263" s="86">
        <v>0</v>
      </c>
      <c r="D263" s="86">
        <v>1687958.64</v>
      </c>
      <c r="E263" s="86">
        <f t="shared" si="16"/>
        <v>1687958.64</v>
      </c>
    </row>
    <row r="264" spans="1:5" ht="15" x14ac:dyDescent="0.25">
      <c r="A264" s="264" t="s">
        <v>220</v>
      </c>
      <c r="B264" s="265" t="s">
        <v>119</v>
      </c>
      <c r="C264" s="267">
        <f>SUM(C260:C263)</f>
        <v>0</v>
      </c>
      <c r="D264" s="267">
        <f>SUM(D260:D263)</f>
        <v>1687958.64</v>
      </c>
      <c r="E264" s="267">
        <f t="shared" si="16"/>
        <v>1687958.64</v>
      </c>
    </row>
    <row r="265" spans="1:5" ht="15" x14ac:dyDescent="0.25">
      <c r="A265" s="264" t="s">
        <v>220</v>
      </c>
      <c r="B265" s="265" t="s">
        <v>121</v>
      </c>
      <c r="C265" s="267">
        <f>SUM(C221:C226)+SUM(C230:C232)+SUM(C234:C235)+SUM(C241:C241)+SUM(C245:C256)+SUM(C260:C263)</f>
        <v>0</v>
      </c>
      <c r="D265" s="267">
        <f>SUM(D221:D226)+SUM(D230:D232)+SUM(D234:D235)+SUM(D241:D241)+SUM(D245:D256)+SUM(D260:D263)</f>
        <v>8769195.7200000007</v>
      </c>
      <c r="E265" s="267">
        <f t="shared" si="16"/>
        <v>8769195.7200000007</v>
      </c>
    </row>
    <row r="266" spans="1:5" ht="15" x14ac:dyDescent="0.25">
      <c r="A266" s="264" t="s">
        <v>220</v>
      </c>
      <c r="B266" s="265" t="s">
        <v>120</v>
      </c>
      <c r="C266" s="267">
        <f>SUM(C241:C241)+SUM(C245:C256)+SUM(C260:C263)</f>
        <v>0</v>
      </c>
      <c r="D266" s="267">
        <f>SUM(D241:D241)+SUM(D245:D256)+SUM(D260:D263)</f>
        <v>1737847.44</v>
      </c>
      <c r="E266" s="267">
        <f t="shared" si="16"/>
        <v>1737847.44</v>
      </c>
    </row>
    <row r="267" spans="1:5" x14ac:dyDescent="0.2">
      <c r="A267" s="264" t="s">
        <v>220</v>
      </c>
    </row>
    <row r="268" spans="1:5" ht="15" x14ac:dyDescent="0.25">
      <c r="A268" s="264" t="s">
        <v>220</v>
      </c>
      <c r="B268" s="265" t="s">
        <v>122</v>
      </c>
      <c r="C268" s="264" t="s">
        <v>222</v>
      </c>
      <c r="D268" s="264" t="s">
        <v>220</v>
      </c>
      <c r="E268" s="264" t="s">
        <v>220</v>
      </c>
    </row>
    <row r="269" spans="1:5" x14ac:dyDescent="0.2">
      <c r="A269" s="264" t="s">
        <v>220</v>
      </c>
      <c r="B269" s="264" t="s">
        <v>222</v>
      </c>
      <c r="C269" s="264" t="s">
        <v>222</v>
      </c>
      <c r="D269" s="264" t="s">
        <v>220</v>
      </c>
      <c r="E269" s="264" t="s">
        <v>220</v>
      </c>
    </row>
    <row r="270" spans="1:5" ht="15" x14ac:dyDescent="0.25">
      <c r="A270" s="264" t="s">
        <v>220</v>
      </c>
      <c r="B270" s="265" t="s">
        <v>123</v>
      </c>
      <c r="C270" s="264" t="s">
        <v>222</v>
      </c>
      <c r="D270" s="264" t="s">
        <v>220</v>
      </c>
      <c r="E270" s="264" t="s">
        <v>220</v>
      </c>
    </row>
    <row r="271" spans="1:5" x14ac:dyDescent="0.2">
      <c r="A271" s="264">
        <v>6110</v>
      </c>
      <c r="B271" s="264" t="s">
        <v>124</v>
      </c>
      <c r="C271" s="86">
        <v>0</v>
      </c>
      <c r="D271" s="86">
        <v>-7516547.6600000001</v>
      </c>
      <c r="E271" s="86">
        <f>D271-C271</f>
        <v>-7516547.6600000001</v>
      </c>
    </row>
    <row r="272" spans="1:5" ht="15" x14ac:dyDescent="0.25">
      <c r="A272" s="264" t="s">
        <v>220</v>
      </c>
      <c r="B272" s="265" t="s">
        <v>125</v>
      </c>
      <c r="C272" s="267">
        <f>SUM(C9:C12)+SUM(C18:C24)+SUM(C28:C35)+SUM(C39:C48)+SUM(C52:C55)+SUM(C57:C59)+SUM(C62:C67)+SUM(C71:C81)+SUM(C85:C85)+SUM(C90:C91)+SUM(C94:C100)+SUM(C104:C105)+SUM(C109:C113)+SUM(C117:C122)+SUM(C126:C128)+SUM(C132:C133)+SUM(C137:C140)+SUM(C149:C155)+SUM(C159:C162)+SUM(C166:C169)+SUM(C173:C175)+SUM(C179:C181)+SUM(C185:C188)+SUM(C192:C194)+SUM(C196:C202)+SUM(C205:C205)+SUM(C209:C211)</f>
        <v>-1927.4800000000105</v>
      </c>
      <c r="D272" s="267">
        <f>SUM(D9:D12)+SUM(D18:D24)+SUM(D28:D35)+SUM(D39:D48)+SUM(D52:D55)+SUM(D57:D59)+SUM(D62:D67)+SUM(D71:D81)+SUM(D85:D85)+SUM(D90:D91)+SUM(D94:D100)+SUM(D104:D105)+SUM(D109:D113)+SUM(D117:D122)+SUM(D126:D128)+SUM(D132:D133)+SUM(D137:D140)+SUM(D149:D155)+SUM(D159:D162)+SUM(D166:D169)+SUM(D173:D175)+SUM(D179:D181)+SUM(D185:D188)+SUM(D192:D194)+SUM(D196:D202)+SUM(D205:D205)+SUM(D209:D211)</f>
        <v>24722.09999999994</v>
      </c>
      <c r="E272" s="267">
        <f>D272-C272</f>
        <v>26649.579999999951</v>
      </c>
    </row>
    <row r="273" spans="1:5" x14ac:dyDescent="0.2">
      <c r="A273" s="264">
        <v>6130</v>
      </c>
      <c r="B273" s="264" t="s">
        <v>184</v>
      </c>
      <c r="C273" s="86">
        <v>0</v>
      </c>
      <c r="D273" s="86">
        <v>77346.7</v>
      </c>
      <c r="E273" s="86">
        <f>D273-C273</f>
        <v>77346.7</v>
      </c>
    </row>
    <row r="274" spans="1:5" ht="15" x14ac:dyDescent="0.25">
      <c r="A274" s="264" t="s">
        <v>220</v>
      </c>
      <c r="B274" s="265" t="s">
        <v>127</v>
      </c>
      <c r="C274" s="267">
        <f>SUM(C9:C12)+SUM(C18:C24)+SUM(C28:C35)+SUM(C39:C48)+SUM(C52:C55)+SUM(C57:C59)+SUM(C62:C67)+SUM(C71:C81)+SUM(C85:C85)+SUM(C90:C91)+SUM(C94:C100)+SUM(C104:C105)+SUM(C109:C113)+SUM(C117:C122)+SUM(C126:C128)+SUM(C132:C133)+SUM(C137:C140)+SUM(C149:C155)+SUM(C159:C162)+SUM(C166:C169)+SUM(C173:C175)+SUM(C179:C181)+SUM(C185:C188)+SUM(C192:C194)+SUM(C196:C202)+SUM(C205:C205)+SUM(C209:C211)+SUM(C271:C271)+SUM(C273:C273)</f>
        <v>-1927.4800000000105</v>
      </c>
      <c r="D274" s="267">
        <f>SUM(D9:D12)+SUM(D18:D24)+SUM(D28:D35)+SUM(D39:D48)+SUM(D52:D55)+SUM(D57:D59)+SUM(D62:D67)+SUM(D71:D81)+SUM(D85:D85)+SUM(D90:D91)+SUM(D94:D100)+SUM(D104:D105)+SUM(D109:D113)+SUM(D117:D122)+SUM(D126:D128)+SUM(D132:D133)+SUM(D137:D140)+SUM(D149:D155)+SUM(D159:D162)+SUM(D166:D169)+SUM(D173:D175)+SUM(D179:D181)+SUM(D185:D188)+SUM(D192:D194)+SUM(D196:D202)+SUM(D205:D205)+SUM(D209:D211)+SUM(D271:D271)+SUM(D273:D273)</f>
        <v>-7414478.8600000003</v>
      </c>
      <c r="E274" s="267">
        <f>D274-C274</f>
        <v>-7412551.3799999999</v>
      </c>
    </row>
    <row r="275" spans="1:5" x14ac:dyDescent="0.2">
      <c r="A275" s="264" t="s">
        <v>220</v>
      </c>
      <c r="B275" s="264" t="s">
        <v>222</v>
      </c>
      <c r="C275" s="264" t="s">
        <v>222</v>
      </c>
      <c r="D275" s="264" t="s">
        <v>220</v>
      </c>
      <c r="E275" s="264" t="s">
        <v>220</v>
      </c>
    </row>
    <row r="276" spans="1:5" ht="15" x14ac:dyDescent="0.25">
      <c r="A276" s="264" t="s">
        <v>220</v>
      </c>
      <c r="B276" s="265" t="s">
        <v>129</v>
      </c>
      <c r="C276" s="264" t="s">
        <v>222</v>
      </c>
      <c r="D276" s="264" t="s">
        <v>220</v>
      </c>
      <c r="E276" s="264" t="s">
        <v>220</v>
      </c>
    </row>
    <row r="277" spans="1:5" x14ac:dyDescent="0.2">
      <c r="A277" s="264" t="s">
        <v>220</v>
      </c>
      <c r="B277" s="264" t="s">
        <v>222</v>
      </c>
      <c r="C277" s="264" t="s">
        <v>222</v>
      </c>
      <c r="D277" s="264" t="s">
        <v>220</v>
      </c>
      <c r="E277" s="264" t="s">
        <v>220</v>
      </c>
    </row>
    <row r="278" spans="1:5" ht="15" x14ac:dyDescent="0.25">
      <c r="A278" s="264" t="s">
        <v>220</v>
      </c>
      <c r="B278" s="265" t="s">
        <v>225</v>
      </c>
      <c r="C278" s="264" t="s">
        <v>222</v>
      </c>
      <c r="D278" s="264" t="s">
        <v>220</v>
      </c>
      <c r="E278" s="264" t="s">
        <v>220</v>
      </c>
    </row>
    <row r="279" spans="1:5" x14ac:dyDescent="0.2">
      <c r="A279" s="264" t="s">
        <v>220</v>
      </c>
      <c r="B279" s="264" t="s">
        <v>222</v>
      </c>
      <c r="C279" s="264" t="s">
        <v>222</v>
      </c>
      <c r="D279" s="264" t="s">
        <v>220</v>
      </c>
      <c r="E279" s="264" t="s">
        <v>220</v>
      </c>
    </row>
    <row r="280" spans="1:5" ht="15" x14ac:dyDescent="0.25">
      <c r="A280" s="264" t="s">
        <v>220</v>
      </c>
      <c r="B280" s="265" t="s">
        <v>281</v>
      </c>
      <c r="C280" s="264" t="s">
        <v>222</v>
      </c>
      <c r="D280" s="264" t="s">
        <v>220</v>
      </c>
      <c r="E280" s="264" t="s">
        <v>220</v>
      </c>
    </row>
    <row r="281" spans="1:5" x14ac:dyDescent="0.2">
      <c r="A281" s="264">
        <v>6314</v>
      </c>
      <c r="B281" s="264" t="s">
        <v>201</v>
      </c>
      <c r="C281" s="86">
        <v>0</v>
      </c>
      <c r="D281" s="86">
        <v>0</v>
      </c>
      <c r="E281" s="86">
        <f t="shared" ref="E281:E302" si="17">D281-C281</f>
        <v>0</v>
      </c>
    </row>
    <row r="282" spans="1:5" x14ac:dyDescent="0.2">
      <c r="A282" s="264">
        <v>6315</v>
      </c>
      <c r="B282" s="264" t="s">
        <v>413</v>
      </c>
      <c r="C282" s="86">
        <v>0</v>
      </c>
      <c r="D282" s="86">
        <v>17454.95</v>
      </c>
      <c r="E282" s="86">
        <f t="shared" si="17"/>
        <v>17454.95</v>
      </c>
    </row>
    <row r="283" spans="1:5" x14ac:dyDescent="0.2">
      <c r="A283" s="264">
        <v>6316</v>
      </c>
      <c r="B283" s="264" t="s">
        <v>243</v>
      </c>
      <c r="C283" s="86">
        <v>0</v>
      </c>
      <c r="D283" s="86">
        <v>32499.01</v>
      </c>
      <c r="E283" s="86">
        <f t="shared" si="17"/>
        <v>32499.01</v>
      </c>
    </row>
    <row r="284" spans="1:5" x14ac:dyDescent="0.2">
      <c r="A284" s="264">
        <v>6317</v>
      </c>
      <c r="B284" s="264" t="s">
        <v>289</v>
      </c>
      <c r="C284" s="86">
        <v>0</v>
      </c>
      <c r="D284" s="86">
        <v>0</v>
      </c>
      <c r="E284" s="86">
        <f t="shared" si="17"/>
        <v>0</v>
      </c>
    </row>
    <row r="285" spans="1:5" x14ac:dyDescent="0.2">
      <c r="A285" s="264">
        <v>6318</v>
      </c>
      <c r="B285" s="264" t="s">
        <v>202</v>
      </c>
      <c r="C285" s="86">
        <v>0</v>
      </c>
      <c r="D285" s="86">
        <v>0</v>
      </c>
      <c r="E285" s="86">
        <f t="shared" si="17"/>
        <v>0</v>
      </c>
    </row>
    <row r="286" spans="1:5" x14ac:dyDescent="0.2">
      <c r="A286" s="264">
        <v>6319</v>
      </c>
      <c r="B286" s="264" t="s">
        <v>235</v>
      </c>
      <c r="C286" s="86">
        <v>0</v>
      </c>
      <c r="D286" s="86">
        <v>0</v>
      </c>
      <c r="E286" s="86">
        <f t="shared" si="17"/>
        <v>0</v>
      </c>
    </row>
    <row r="287" spans="1:5" x14ac:dyDescent="0.2">
      <c r="A287" s="264">
        <v>6320</v>
      </c>
      <c r="B287" s="264" t="s">
        <v>236</v>
      </c>
      <c r="C287" s="86">
        <v>0</v>
      </c>
      <c r="D287" s="86">
        <v>0</v>
      </c>
      <c r="E287" s="86">
        <f t="shared" si="17"/>
        <v>0</v>
      </c>
    </row>
    <row r="288" spans="1:5" x14ac:dyDescent="0.2">
      <c r="A288" s="264">
        <v>6321</v>
      </c>
      <c r="B288" s="264" t="s">
        <v>204</v>
      </c>
      <c r="C288" s="86">
        <v>0</v>
      </c>
      <c r="D288" s="86">
        <v>0</v>
      </c>
      <c r="E288" s="86">
        <f t="shared" si="17"/>
        <v>0</v>
      </c>
    </row>
    <row r="289" spans="1:5" x14ac:dyDescent="0.2">
      <c r="A289" s="264">
        <v>6322</v>
      </c>
      <c r="B289" s="264" t="s">
        <v>205</v>
      </c>
      <c r="C289" s="86">
        <v>0</v>
      </c>
      <c r="D289" s="86">
        <v>0</v>
      </c>
      <c r="E289" s="86">
        <f t="shared" si="17"/>
        <v>0</v>
      </c>
    </row>
    <row r="290" spans="1:5" x14ac:dyDescent="0.2">
      <c r="A290" s="264">
        <v>6323</v>
      </c>
      <c r="B290" s="264" t="s">
        <v>237</v>
      </c>
      <c r="C290" s="86">
        <v>0</v>
      </c>
      <c r="D290" s="86">
        <v>0</v>
      </c>
      <c r="E290" s="86">
        <f t="shared" si="17"/>
        <v>0</v>
      </c>
    </row>
    <row r="291" spans="1:5" x14ac:dyDescent="0.2">
      <c r="A291" s="264">
        <v>6324</v>
      </c>
      <c r="B291" s="264" t="s">
        <v>238</v>
      </c>
      <c r="C291" s="86">
        <v>0</v>
      </c>
      <c r="D291" s="86">
        <v>0</v>
      </c>
      <c r="E291" s="86">
        <f t="shared" si="17"/>
        <v>0</v>
      </c>
    </row>
    <row r="292" spans="1:5" x14ac:dyDescent="0.2">
      <c r="A292" s="264">
        <v>6325</v>
      </c>
      <c r="B292" s="264" t="s">
        <v>239</v>
      </c>
      <c r="C292" s="86">
        <v>0</v>
      </c>
      <c r="D292" s="86">
        <v>0</v>
      </c>
      <c r="E292" s="86">
        <f t="shared" si="17"/>
        <v>0</v>
      </c>
    </row>
    <row r="293" spans="1:5" ht="15" x14ac:dyDescent="0.25">
      <c r="A293" s="264" t="s">
        <v>220</v>
      </c>
      <c r="B293" s="265" t="s">
        <v>282</v>
      </c>
      <c r="C293" s="267">
        <f>SUM(C281:C292)</f>
        <v>0</v>
      </c>
      <c r="D293" s="267">
        <f>SUM(D281:D292)</f>
        <v>49953.96</v>
      </c>
      <c r="E293" s="267">
        <f t="shared" si="17"/>
        <v>49953.96</v>
      </c>
    </row>
    <row r="294" spans="1:5" x14ac:dyDescent="0.2">
      <c r="A294" s="264">
        <v>6327</v>
      </c>
      <c r="B294" s="264" t="s">
        <v>283</v>
      </c>
      <c r="C294" s="86">
        <v>0</v>
      </c>
      <c r="D294" s="86">
        <v>0</v>
      </c>
      <c r="E294" s="86">
        <f t="shared" si="17"/>
        <v>0</v>
      </c>
    </row>
    <row r="295" spans="1:5" x14ac:dyDescent="0.2">
      <c r="A295" s="264">
        <v>6328</v>
      </c>
      <c r="B295" s="264" t="s">
        <v>284</v>
      </c>
      <c r="C295" s="86">
        <v>0</v>
      </c>
      <c r="D295" s="86">
        <v>-256569.87</v>
      </c>
      <c r="E295" s="86">
        <f t="shared" si="17"/>
        <v>-256569.87</v>
      </c>
    </row>
    <row r="296" spans="1:5" ht="15" x14ac:dyDescent="0.25">
      <c r="A296" s="264" t="s">
        <v>220</v>
      </c>
      <c r="B296" s="265" t="s">
        <v>285</v>
      </c>
      <c r="C296" s="267">
        <f>SUM(C281:C292)+SUM(C294:C295)</f>
        <v>0</v>
      </c>
      <c r="D296" s="267">
        <f>SUM(D281:D292)+SUM(D294:D295)</f>
        <v>-206615.91</v>
      </c>
      <c r="E296" s="267">
        <f t="shared" si="17"/>
        <v>-206615.91</v>
      </c>
    </row>
    <row r="297" spans="1:5" x14ac:dyDescent="0.2">
      <c r="A297" s="264">
        <v>6340</v>
      </c>
      <c r="B297" s="264" t="s">
        <v>286</v>
      </c>
      <c r="C297" s="86">
        <v>0</v>
      </c>
      <c r="D297" s="86">
        <v>0</v>
      </c>
      <c r="E297" s="86">
        <f t="shared" si="17"/>
        <v>0</v>
      </c>
    </row>
    <row r="298" spans="1:5" x14ac:dyDescent="0.2">
      <c r="A298" s="264">
        <v>6345</v>
      </c>
      <c r="B298" s="264" t="s">
        <v>266</v>
      </c>
      <c r="C298" s="86">
        <v>0</v>
      </c>
      <c r="D298" s="86">
        <v>0</v>
      </c>
      <c r="E298" s="86">
        <f t="shared" si="17"/>
        <v>0</v>
      </c>
    </row>
    <row r="299" spans="1:5" x14ac:dyDescent="0.2">
      <c r="A299" s="264">
        <v>6350</v>
      </c>
      <c r="B299" s="264" t="s">
        <v>294</v>
      </c>
      <c r="C299" s="86">
        <v>0</v>
      </c>
      <c r="D299" s="86">
        <v>-26125</v>
      </c>
      <c r="E299" s="86">
        <f t="shared" si="17"/>
        <v>-26125</v>
      </c>
    </row>
    <row r="300" spans="1:5" x14ac:dyDescent="0.2">
      <c r="A300" s="264">
        <v>6360</v>
      </c>
      <c r="B300" s="264" t="s">
        <v>266</v>
      </c>
      <c r="C300" s="86">
        <v>0</v>
      </c>
      <c r="D300" s="86">
        <v>0</v>
      </c>
      <c r="E300" s="86">
        <f t="shared" si="17"/>
        <v>0</v>
      </c>
    </row>
    <row r="301" spans="1:5" x14ac:dyDescent="0.2">
      <c r="A301" s="264">
        <v>6380</v>
      </c>
      <c r="B301" s="264" t="s">
        <v>130</v>
      </c>
      <c r="C301" s="86">
        <v>0</v>
      </c>
      <c r="D301" s="86">
        <v>0</v>
      </c>
      <c r="E301" s="86">
        <f t="shared" si="17"/>
        <v>0</v>
      </c>
    </row>
    <row r="302" spans="1:5" ht="15" x14ac:dyDescent="0.25">
      <c r="A302" s="264" t="s">
        <v>220</v>
      </c>
      <c r="B302" s="265" t="s">
        <v>131</v>
      </c>
      <c r="C302" s="267">
        <f>SUM(C281:C292)+SUM(C294:C295)+SUM(C297:C301)</f>
        <v>0</v>
      </c>
      <c r="D302" s="267">
        <f>SUM(D281:D292)+SUM(D294:D295)+SUM(D297:D301)</f>
        <v>-232740.91</v>
      </c>
      <c r="E302" s="267">
        <f t="shared" si="17"/>
        <v>-232740.91</v>
      </c>
    </row>
    <row r="303" spans="1:5" x14ac:dyDescent="0.2">
      <c r="A303" s="264" t="s">
        <v>220</v>
      </c>
      <c r="B303" s="264" t="s">
        <v>222</v>
      </c>
      <c r="C303" s="264" t="s">
        <v>222</v>
      </c>
      <c r="D303" s="264" t="s">
        <v>220</v>
      </c>
      <c r="E303" s="264" t="s">
        <v>220</v>
      </c>
    </row>
    <row r="304" spans="1:5" ht="15" x14ac:dyDescent="0.25">
      <c r="A304" s="264" t="s">
        <v>220</v>
      </c>
      <c r="B304" s="265" t="s">
        <v>154</v>
      </c>
      <c r="C304" s="264" t="s">
        <v>222</v>
      </c>
      <c r="D304" s="264" t="s">
        <v>220</v>
      </c>
      <c r="E304" s="264" t="s">
        <v>220</v>
      </c>
    </row>
    <row r="305" spans="1:5" x14ac:dyDescent="0.2">
      <c r="A305" s="264" t="s">
        <v>220</v>
      </c>
      <c r="B305" s="264" t="s">
        <v>222</v>
      </c>
      <c r="C305" s="264" t="s">
        <v>222</v>
      </c>
      <c r="D305" s="264" t="s">
        <v>220</v>
      </c>
      <c r="E305" s="264" t="s">
        <v>220</v>
      </c>
    </row>
    <row r="306" spans="1:5" ht="15" x14ac:dyDescent="0.25">
      <c r="A306" s="264" t="s">
        <v>220</v>
      </c>
      <c r="B306" s="265" t="s">
        <v>132</v>
      </c>
      <c r="C306" s="264" t="s">
        <v>222</v>
      </c>
      <c r="D306" s="264" t="s">
        <v>220</v>
      </c>
      <c r="E306" s="264" t="s">
        <v>220</v>
      </c>
    </row>
    <row r="307" spans="1:5" x14ac:dyDescent="0.2">
      <c r="A307" s="264">
        <v>6620</v>
      </c>
      <c r="B307" s="264" t="s">
        <v>266</v>
      </c>
      <c r="C307" s="86">
        <v>0</v>
      </c>
      <c r="D307" s="86">
        <v>0</v>
      </c>
      <c r="E307" s="86">
        <f t="shared" ref="E307:E312" si="18">D307-C307</f>
        <v>0</v>
      </c>
    </row>
    <row r="308" spans="1:5" x14ac:dyDescent="0.2">
      <c r="A308" s="264">
        <v>6630</v>
      </c>
      <c r="B308" s="264" t="s">
        <v>266</v>
      </c>
      <c r="C308" s="86">
        <v>0</v>
      </c>
      <c r="D308" s="86">
        <v>0</v>
      </c>
      <c r="E308" s="86">
        <f t="shared" si="18"/>
        <v>0</v>
      </c>
    </row>
    <row r="309" spans="1:5" x14ac:dyDescent="0.2">
      <c r="A309" s="264">
        <v>6640</v>
      </c>
      <c r="B309" s="264" t="s">
        <v>266</v>
      </c>
      <c r="C309" s="86">
        <v>0</v>
      </c>
      <c r="D309" s="86">
        <v>0</v>
      </c>
      <c r="E309" s="86">
        <f t="shared" si="18"/>
        <v>0</v>
      </c>
    </row>
    <row r="310" spans="1:5" x14ac:dyDescent="0.2">
      <c r="A310" s="264">
        <v>6650</v>
      </c>
      <c r="B310" s="264" t="s">
        <v>266</v>
      </c>
      <c r="C310" s="86">
        <v>0</v>
      </c>
      <c r="D310" s="86">
        <v>0</v>
      </c>
      <c r="E310" s="86">
        <f t="shared" si="18"/>
        <v>0</v>
      </c>
    </row>
    <row r="311" spans="1:5" x14ac:dyDescent="0.2">
      <c r="A311" s="264">
        <v>6660</v>
      </c>
      <c r="B311" s="264" t="s">
        <v>194</v>
      </c>
      <c r="C311" s="86">
        <v>0</v>
      </c>
      <c r="D311" s="86">
        <v>-1000000</v>
      </c>
      <c r="E311" s="86">
        <f t="shared" si="18"/>
        <v>-1000000</v>
      </c>
    </row>
    <row r="312" spans="1:5" ht="15" x14ac:dyDescent="0.25">
      <c r="A312" s="264" t="s">
        <v>220</v>
      </c>
      <c r="B312" s="265" t="s">
        <v>133</v>
      </c>
      <c r="C312" s="267">
        <f>SUM(C307:C311)</f>
        <v>0</v>
      </c>
      <c r="D312" s="267">
        <f>SUM(D307:D311)</f>
        <v>-1000000</v>
      </c>
      <c r="E312" s="267">
        <f t="shared" si="18"/>
        <v>-1000000</v>
      </c>
    </row>
    <row r="313" spans="1:5" x14ac:dyDescent="0.2">
      <c r="A313" s="264" t="s">
        <v>220</v>
      </c>
      <c r="B313" s="264" t="s">
        <v>222</v>
      </c>
      <c r="C313" s="264" t="s">
        <v>222</v>
      </c>
      <c r="D313" s="264" t="s">
        <v>220</v>
      </c>
      <c r="E313" s="264" t="s">
        <v>220</v>
      </c>
    </row>
    <row r="314" spans="1:5" ht="15" x14ac:dyDescent="0.25">
      <c r="A314" s="264" t="s">
        <v>220</v>
      </c>
      <c r="B314" s="265" t="s">
        <v>134</v>
      </c>
      <c r="C314" s="264" t="s">
        <v>222</v>
      </c>
      <c r="D314" s="264" t="s">
        <v>220</v>
      </c>
      <c r="E314" s="264" t="s">
        <v>220</v>
      </c>
    </row>
    <row r="315" spans="1:5" x14ac:dyDescent="0.2">
      <c r="A315" s="264">
        <v>6905</v>
      </c>
      <c r="B315" s="264" t="s">
        <v>272</v>
      </c>
      <c r="C315" s="86">
        <v>0</v>
      </c>
      <c r="D315" s="86">
        <v>-104793.75</v>
      </c>
      <c r="E315" s="86">
        <f t="shared" ref="E315:E322" si="19">D315-C315</f>
        <v>-104793.75</v>
      </c>
    </row>
    <row r="316" spans="1:5" x14ac:dyDescent="0.2">
      <c r="A316" s="264">
        <v>6910</v>
      </c>
      <c r="B316" s="264" t="s">
        <v>135</v>
      </c>
      <c r="C316" s="86">
        <v>0</v>
      </c>
      <c r="D316" s="86">
        <v>-17182.2</v>
      </c>
      <c r="E316" s="86">
        <f t="shared" si="19"/>
        <v>-17182.2</v>
      </c>
    </row>
    <row r="317" spans="1:5" x14ac:dyDescent="0.2">
      <c r="A317" s="264">
        <v>6920</v>
      </c>
      <c r="B317" s="264" t="s">
        <v>266</v>
      </c>
      <c r="C317" s="86">
        <v>0</v>
      </c>
      <c r="D317" s="86">
        <v>0</v>
      </c>
      <c r="E317" s="86">
        <f t="shared" si="19"/>
        <v>0</v>
      </c>
    </row>
    <row r="318" spans="1:5" ht="15" x14ac:dyDescent="0.25">
      <c r="A318" s="264" t="s">
        <v>220</v>
      </c>
      <c r="B318" s="265" t="s">
        <v>136</v>
      </c>
      <c r="C318" s="267">
        <f>SUM(C315:C317)</f>
        <v>0</v>
      </c>
      <c r="D318" s="267">
        <f>SUM(D315:D317)</f>
        <v>-121975.95</v>
      </c>
      <c r="E318" s="267">
        <f t="shared" si="19"/>
        <v>-121975.95</v>
      </c>
    </row>
    <row r="319" spans="1:5" ht="15" x14ac:dyDescent="0.25">
      <c r="A319" s="264" t="s">
        <v>220</v>
      </c>
      <c r="B319" s="265" t="s">
        <v>137</v>
      </c>
      <c r="C319" s="267">
        <f>SUM(C307:C311)+SUM(C315:C317)</f>
        <v>0</v>
      </c>
      <c r="D319" s="267">
        <f>SUM(D307:D311)+SUM(D315:D317)</f>
        <v>-1121975.95</v>
      </c>
      <c r="E319" s="267">
        <f t="shared" si="19"/>
        <v>-1121975.95</v>
      </c>
    </row>
    <row r="320" spans="1:5" ht="15" x14ac:dyDescent="0.25">
      <c r="A320" s="264" t="s">
        <v>220</v>
      </c>
      <c r="B320" s="265" t="s">
        <v>138</v>
      </c>
      <c r="C320" s="267">
        <f>SUM(C9:C12)+SUM(C18:C24)+SUM(C28:C35)+SUM(C39:C48)+SUM(C52:C55)+SUM(C57:C59)+SUM(C62:C67)+SUM(C71:C81)+SUM(C85:C85)+SUM(C90:C91)+SUM(C94:C100)+SUM(C104:C105)+SUM(C109:C113)+SUM(C117:C122)+SUM(C126:C128)+SUM(C132:C133)+SUM(C137:C140)+SUM(C149:C155)+SUM(C159:C162)+SUM(C166:C169)+SUM(C173:C175)+SUM(C179:C181)+SUM(C185:C188)+SUM(C192:C194)+SUM(C196:C202)+SUM(C205:C205)+SUM(C209:C211)+SUM(C271:C271)+SUM(C273:C273)+SUM(C281:C292)+SUM(C294:C295)+SUM(C297:C301)+SUM(C307:C311)+SUM(C315:C317)</f>
        <v>-1927.4800000000105</v>
      </c>
      <c r="D320" s="267">
        <f>SUM(D9:D12)+SUM(D18:D24)+SUM(D28:D35)+SUM(D39:D48)+SUM(D52:D55)+SUM(D57:D59)+SUM(D62:D67)+SUM(D71:D81)+SUM(D85:D85)+SUM(D90:D91)+SUM(D94:D100)+SUM(D104:D105)+SUM(D109:D113)+SUM(D117:D122)+SUM(D126:D128)+SUM(D132:D133)+SUM(D137:D140)+SUM(D149:D155)+SUM(D159:D162)+SUM(D166:D169)+SUM(D173:D175)+SUM(D179:D181)+SUM(D185:D188)+SUM(D192:D194)+SUM(D196:D202)+SUM(D205:D205)+SUM(D209:D211)+SUM(D271:D271)+SUM(D273:D273)+SUM(D281:D292)+SUM(D294:D295)+SUM(D297:D301)+SUM(D307:D311)+SUM(D315:D317)</f>
        <v>-8769195.7199999988</v>
      </c>
      <c r="E320" s="267">
        <f t="shared" si="19"/>
        <v>-8767268.2399999984</v>
      </c>
    </row>
    <row r="321" spans="1:5" x14ac:dyDescent="0.2">
      <c r="A321" s="264">
        <v>9900</v>
      </c>
      <c r="B321" s="264" t="s">
        <v>140</v>
      </c>
      <c r="C321" s="86">
        <v>0</v>
      </c>
      <c r="D321" s="86">
        <v>0</v>
      </c>
      <c r="E321" s="86">
        <f t="shared" si="19"/>
        <v>0</v>
      </c>
    </row>
    <row r="322" spans="1:5" ht="15" x14ac:dyDescent="0.25">
      <c r="A322" s="264" t="s">
        <v>220</v>
      </c>
      <c r="B322" s="265" t="s">
        <v>141</v>
      </c>
      <c r="C322" s="267">
        <f>SUM(C9:C12)+SUM(C18:C24)+SUM(C28:C35)+SUM(C39:C48)+SUM(C52:C55)+SUM(C57:C59)+SUM(C62:C67)+SUM(C71:C81)+SUM(C85:C85)+SUM(C90:C91)+SUM(C94:C100)+SUM(C104:C105)+SUM(C109:C113)+SUM(C117:C122)+SUM(C126:C128)+SUM(C132:C133)+SUM(C137:C140)+SUM(C149:C155)+SUM(C159:C162)+SUM(C166:C169)+SUM(C173:C175)+SUM(C179:C181)+SUM(C185:C188)+SUM(C192:C194)+SUM(C196:C202)+SUM(C205:C205)+SUM(C209:C211)+SUM(C221:C226)+SUM(C230:C232)+SUM(C234:C235)+SUM(C241:C241)+SUM(C245:C256)+SUM(C260:C263)+SUM(C271:C271)+SUM(C273:C273)+SUM(C281:C292)+SUM(C294:C295)+SUM(C297:C301)+SUM(C307:C311)+SUM(C315:C317)+SUM(C321:C321)</f>
        <v>-1927.4800000000105</v>
      </c>
      <c r="D322" s="267">
        <f>SUM(D9:D12)+SUM(D18:D24)+SUM(D28:D35)+SUM(D39:D48)+SUM(D52:D55)+SUM(D57:D59)+SUM(D62:D67)+SUM(D71:D81)+SUM(D85:D85)+SUM(D90:D91)+SUM(D94:D100)+SUM(D104:D105)+SUM(D109:D113)+SUM(D117:D122)+SUM(D126:D128)+SUM(D132:D133)+SUM(D137:D140)+SUM(D149:D155)+SUM(D159:D162)+SUM(D166:D169)+SUM(D173:D175)+SUM(D179:D181)+SUM(D185:D188)+SUM(D192:D194)+SUM(D196:D202)+SUM(D205:D205)+SUM(D209:D211)+SUM(D221:D226)+SUM(D230:D232)+SUM(D234:D235)+SUM(D241:D241)+SUM(D245:D256)+SUM(D260:D263)+SUM(D271:D271)+SUM(D273:D273)+SUM(D281:D292)+SUM(D294:D295)+SUM(D297:D301)+SUM(D307:D311)+SUM(D315:D317)+SUM(D321:D321)</f>
        <v>1.8917489796876907E-10</v>
      </c>
      <c r="E322" s="267">
        <f t="shared" si="19"/>
        <v>1927.4800000001997</v>
      </c>
    </row>
  </sheetData>
  <mergeCells count="3">
    <mergeCell ref="A2:Y2"/>
    <mergeCell ref="A3:Y3"/>
    <mergeCell ref="A4:Y4"/>
  </mergeCells>
  <phoneticPr fontId="11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workbookViewId="0">
      <selection activeCell="E89" sqref="E89"/>
    </sheetView>
  </sheetViews>
  <sheetFormatPr defaultColWidth="8.85546875" defaultRowHeight="12.75" x14ac:dyDescent="0.2"/>
  <cols>
    <col min="1" max="1" width="8.140625" bestFit="1" customWidth="1"/>
    <col min="2" max="2" width="11.140625" style="58" customWidth="1"/>
    <col min="3" max="3" width="13.28515625" style="58" customWidth="1"/>
    <col min="4" max="4" width="34.85546875" bestFit="1" customWidth="1"/>
    <col min="5" max="5" width="14.42578125" style="59" customWidth="1"/>
    <col min="6" max="6" width="10.42578125" bestFit="1" customWidth="1"/>
    <col min="7" max="7" width="11.85546875" bestFit="1" customWidth="1"/>
    <col min="8" max="8" width="15.85546875" style="59" customWidth="1"/>
  </cols>
  <sheetData>
    <row r="1" spans="1:8" ht="15" x14ac:dyDescent="0.25">
      <c r="A1" s="55" t="s">
        <v>16</v>
      </c>
      <c r="B1" s="56" t="s">
        <v>17</v>
      </c>
      <c r="C1" s="56" t="s">
        <v>18</v>
      </c>
      <c r="D1" s="55" t="s">
        <v>19</v>
      </c>
      <c r="E1" s="57" t="s">
        <v>20</v>
      </c>
      <c r="F1" s="55" t="s">
        <v>21</v>
      </c>
      <c r="G1" s="55" t="s">
        <v>22</v>
      </c>
      <c r="H1" s="57" t="s">
        <v>23</v>
      </c>
    </row>
    <row r="2" spans="1:8" ht="15" x14ac:dyDescent="0.3">
      <c r="A2" s="83">
        <f>Saldobalance!A9</f>
        <v>1010</v>
      </c>
      <c r="B2" s="58">
        <f>'Regnskab og budget'!$F$2</f>
        <v>45292</v>
      </c>
      <c r="C2" s="58">
        <f>'Regnskab og budget'!$H$2</f>
        <v>45657</v>
      </c>
      <c r="D2" s="20" t="str">
        <f>'Regnskab og budget'!A7</f>
        <v>GEF</v>
      </c>
      <c r="E2" s="59">
        <f>'Regnskab og budget'!K7-'Regnskab og budget'!E7</f>
        <v>32400</v>
      </c>
      <c r="F2">
        <v>1</v>
      </c>
      <c r="G2" t="s">
        <v>24</v>
      </c>
      <c r="H2" s="64">
        <v>0</v>
      </c>
    </row>
    <row r="3" spans="1:8" ht="15" x14ac:dyDescent="0.3">
      <c r="A3" s="83">
        <f>Saldobalance!A10</f>
        <v>1020</v>
      </c>
      <c r="B3" s="58">
        <f>'Regnskab og budget'!$F$2</f>
        <v>45292</v>
      </c>
      <c r="C3" s="58">
        <f>'Regnskab og budget'!$H$2</f>
        <v>45657</v>
      </c>
      <c r="D3" s="20" t="s">
        <v>287</v>
      </c>
      <c r="E3" s="59">
        <v>0</v>
      </c>
      <c r="F3">
        <v>1</v>
      </c>
      <c r="G3" s="171" t="s">
        <v>24</v>
      </c>
      <c r="H3" s="64">
        <v>0</v>
      </c>
    </row>
    <row r="4" spans="1:8" ht="15" x14ac:dyDescent="0.3">
      <c r="A4" s="83">
        <f>Saldobalance!A11</f>
        <v>1030</v>
      </c>
      <c r="B4" s="58">
        <f>'Regnskab og budget'!$F$2</f>
        <v>45292</v>
      </c>
      <c r="C4" s="58">
        <f>'Regnskab og budget'!$H$2</f>
        <v>45657</v>
      </c>
      <c r="D4" s="20" t="str">
        <f>'Regnskab og budget'!A8</f>
        <v xml:space="preserve">Rykkergebyr </v>
      </c>
      <c r="E4" s="59">
        <f>'Regnskab og budget'!K8-'Regnskab og budget'!E8</f>
        <v>0</v>
      </c>
      <c r="F4">
        <v>1</v>
      </c>
      <c r="G4" s="171" t="s">
        <v>24</v>
      </c>
      <c r="H4" s="64">
        <v>0</v>
      </c>
    </row>
    <row r="5" spans="1:8" ht="15" x14ac:dyDescent="0.3">
      <c r="A5" s="83">
        <f>Saldobalance!A12</f>
        <v>1040</v>
      </c>
      <c r="B5" s="58">
        <f>'Regnskab og budget'!$F$2</f>
        <v>45292</v>
      </c>
      <c r="C5" s="58">
        <f>'Regnskab og budget'!$H$2</f>
        <v>45657</v>
      </c>
      <c r="D5" s="20" t="str">
        <f>'Regnskab og budget'!A9</f>
        <v>Andre indtægter</v>
      </c>
      <c r="E5" s="59">
        <f>'Regnskab og budget'!K9-'Regnskab og budget'!E9</f>
        <v>0</v>
      </c>
      <c r="F5">
        <v>1</v>
      </c>
      <c r="G5" s="171" t="s">
        <v>24</v>
      </c>
      <c r="H5" s="64">
        <v>0</v>
      </c>
    </row>
    <row r="6" spans="1:8" ht="15" x14ac:dyDescent="0.3">
      <c r="A6" s="83">
        <f>Saldobalance!A18</f>
        <v>1311</v>
      </c>
      <c r="B6" s="58">
        <f>'Regnskab og budget'!$F$2</f>
        <v>45292</v>
      </c>
      <c r="C6" s="58">
        <f>'Regnskab og budget'!$H$2</f>
        <v>45657</v>
      </c>
      <c r="D6" s="20" t="str">
        <f>'Regnskab og budget'!A18</f>
        <v>Rep maskiner og anlæg</v>
      </c>
      <c r="E6" s="59">
        <f>'Regnskab og budget'!J18-'Regnskab og budget'!D18</f>
        <v>0</v>
      </c>
      <c r="F6">
        <v>1</v>
      </c>
      <c r="H6" s="64">
        <v>0</v>
      </c>
    </row>
    <row r="7" spans="1:8" ht="15" x14ac:dyDescent="0.3">
      <c r="A7" s="83">
        <f>Saldobalance!A19</f>
        <v>1312</v>
      </c>
      <c r="B7" s="58">
        <f>'Regnskab og budget'!$F$2</f>
        <v>45292</v>
      </c>
      <c r="C7" s="58">
        <f>'Regnskab og budget'!$H$2</f>
        <v>45657</v>
      </c>
      <c r="D7" s="20" t="str">
        <f>'Regnskab og budget'!A19</f>
        <v>Rep og service af jordvarme</v>
      </c>
      <c r="E7" s="59">
        <f>'Regnskab og budget'!J19-'Regnskab og budget'!D19</f>
        <v>10000</v>
      </c>
      <c r="F7">
        <v>1</v>
      </c>
      <c r="G7" s="171"/>
      <c r="H7" s="64">
        <v>0</v>
      </c>
    </row>
    <row r="8" spans="1:8" ht="15" x14ac:dyDescent="0.3">
      <c r="A8" s="83">
        <f>Saldobalance!A20</f>
        <v>1313</v>
      </c>
      <c r="B8" s="58">
        <f>'Regnskab og budget'!$F$2</f>
        <v>45292</v>
      </c>
      <c r="C8" s="58">
        <f>'Regnskab og budget'!$H$2</f>
        <v>45657</v>
      </c>
      <c r="D8" s="20" t="str">
        <f>'Regnskab og budget'!A20</f>
        <v>Rep. vaskeriet</v>
      </c>
      <c r="E8" s="59">
        <f>'Regnskab og budget'!J20-'Regnskab og budget'!D20</f>
        <v>0</v>
      </c>
      <c r="F8">
        <v>1</v>
      </c>
      <c r="G8" s="171"/>
      <c r="H8" s="64">
        <v>0</v>
      </c>
    </row>
    <row r="9" spans="1:8" ht="15" x14ac:dyDescent="0.3">
      <c r="A9" s="83">
        <f>Saldobalance!A21</f>
        <v>1314</v>
      </c>
      <c r="B9" s="58">
        <f>'Regnskab og budget'!$F$2</f>
        <v>45292</v>
      </c>
      <c r="C9" s="58">
        <f>'Regnskab og budget'!$H$2</f>
        <v>45657</v>
      </c>
      <c r="D9" s="20" t="str">
        <f>'Regnskab og budget'!A21</f>
        <v>Indv. vedl. FÆ-hus</v>
      </c>
      <c r="E9" s="59">
        <f>'Regnskab og budget'!J21-'Regnskab og budget'!D21</f>
        <v>0</v>
      </c>
      <c r="F9">
        <v>1</v>
      </c>
      <c r="G9" s="171"/>
      <c r="H9" s="64">
        <v>0</v>
      </c>
    </row>
    <row r="10" spans="1:8" ht="15" x14ac:dyDescent="0.3">
      <c r="A10" s="83">
        <f>Saldobalance!A22</f>
        <v>1315</v>
      </c>
      <c r="B10" s="58">
        <f>'Regnskab og budget'!$F$2</f>
        <v>45292</v>
      </c>
      <c r="C10" s="58">
        <f>'Regnskab og budget'!$H$2</f>
        <v>45657</v>
      </c>
      <c r="D10" s="20" t="str">
        <f>'Regnskab og budget'!A22</f>
        <v>Udv. vedl. FÆ-hus</v>
      </c>
      <c r="E10" s="59">
        <f>'Regnskab og budget'!J22-'Regnskab og budget'!D22</f>
        <v>0</v>
      </c>
      <c r="F10">
        <v>1</v>
      </c>
      <c r="G10" s="171"/>
      <c r="H10" s="64">
        <v>0</v>
      </c>
    </row>
    <row r="11" spans="1:8" ht="15" x14ac:dyDescent="0.3">
      <c r="A11" s="83">
        <f>Saldobalance!A23</f>
        <v>1316</v>
      </c>
      <c r="B11" s="58">
        <f>'Regnskab og budget'!$F$2</f>
        <v>45292</v>
      </c>
      <c r="C11" s="58">
        <f>'Regnskab og budget'!$H$2</f>
        <v>45657</v>
      </c>
      <c r="D11" s="20" t="str">
        <f>'Regnskab og budget'!A23</f>
        <v>Vedl. fællesarealer</v>
      </c>
      <c r="E11" s="59">
        <f>'Regnskab og budget'!J23-'Regnskab og budget'!D23</f>
        <v>0</v>
      </c>
      <c r="F11">
        <v>1</v>
      </c>
      <c r="G11" s="171"/>
      <c r="H11" s="64">
        <v>0</v>
      </c>
    </row>
    <row r="12" spans="1:8" ht="15" x14ac:dyDescent="0.3">
      <c r="A12" s="83">
        <f>Saldobalance!A24</f>
        <v>1317</v>
      </c>
      <c r="B12" s="58">
        <f>'Regnskab og budget'!$F$2</f>
        <v>45292</v>
      </c>
      <c r="C12" s="58">
        <f>'Regnskab og budget'!$H$2</f>
        <v>45657</v>
      </c>
      <c r="D12" s="20" t="str">
        <f>'Regnskab og budget'!A24</f>
        <v>Vedl. fællesvej</v>
      </c>
      <c r="E12" s="59">
        <f>'Regnskab og budget'!J24-'Regnskab og budget'!D24</f>
        <v>-15000</v>
      </c>
      <c r="F12">
        <v>1</v>
      </c>
      <c r="G12" s="171"/>
      <c r="H12" s="64">
        <v>0</v>
      </c>
    </row>
    <row r="13" spans="1:8" ht="15" x14ac:dyDescent="0.3">
      <c r="A13" s="83">
        <f>Saldobalance!A28</f>
        <v>1321</v>
      </c>
      <c r="B13" s="58">
        <f>'Regnskab og budget'!$F$2</f>
        <v>45292</v>
      </c>
      <c r="C13" s="58">
        <f>'Regnskab og budget'!$H$2</f>
        <v>45657</v>
      </c>
      <c r="D13" s="20" t="str">
        <f>'Regnskab og budget'!A27</f>
        <v>Inventar</v>
      </c>
      <c r="E13" s="59">
        <f>'Regnskab og budget'!J27-'Regnskab og budget'!D27</f>
        <v>0</v>
      </c>
      <c r="F13">
        <v>1</v>
      </c>
      <c r="G13" s="171"/>
      <c r="H13" s="64">
        <v>0</v>
      </c>
    </row>
    <row r="14" spans="1:8" ht="15" x14ac:dyDescent="0.3">
      <c r="A14" s="83">
        <f>Saldobalance!A29</f>
        <v>1322</v>
      </c>
      <c r="B14" s="58">
        <f>'Regnskab og budget'!$F$2</f>
        <v>45292</v>
      </c>
      <c r="C14" s="58">
        <f>'Regnskab og budget'!$H$2</f>
        <v>45657</v>
      </c>
      <c r="D14" s="20" t="str">
        <f>'Regnskab og budget'!A28</f>
        <v>Køkkenudstyr</v>
      </c>
      <c r="E14" s="59">
        <f>'Regnskab og budget'!J28-'Regnskab og budget'!D28</f>
        <v>0</v>
      </c>
      <c r="F14">
        <v>1</v>
      </c>
      <c r="G14" s="171"/>
      <c r="H14" s="64">
        <v>0</v>
      </c>
    </row>
    <row r="15" spans="1:8" ht="15" x14ac:dyDescent="0.3">
      <c r="A15" s="83">
        <f>Saldobalance!A30</f>
        <v>1323</v>
      </c>
      <c r="B15" s="58">
        <f>'Regnskab og budget'!$F$2</f>
        <v>45292</v>
      </c>
      <c r="C15" s="58">
        <f>'Regnskab og budget'!$H$2</f>
        <v>45657</v>
      </c>
      <c r="D15" s="20" t="str">
        <f>'Regnskab og budget'!A29</f>
        <v>EL-artik, pærer mv</v>
      </c>
      <c r="E15" s="59">
        <f>'Regnskab og budget'!J29-'Regnskab og budget'!D29</f>
        <v>0</v>
      </c>
      <c r="F15">
        <v>1</v>
      </c>
      <c r="G15" s="171"/>
      <c r="H15" s="64">
        <v>0</v>
      </c>
    </row>
    <row r="16" spans="1:8" ht="15" x14ac:dyDescent="0.3">
      <c r="A16" s="83">
        <f>Saldobalance!A31</f>
        <v>1324</v>
      </c>
      <c r="B16" s="58">
        <f>'Regnskab og budget'!$F$2</f>
        <v>45292</v>
      </c>
      <c r="C16" s="58">
        <f>'Regnskab og budget'!$H$2</f>
        <v>45657</v>
      </c>
      <c r="D16" s="20" t="str">
        <f>'Regnskab og budget'!A30</f>
        <v>Rengøringsmidler/-artikler, papir</v>
      </c>
      <c r="E16" s="59">
        <f>'Regnskab og budget'!J30-'Regnskab og budget'!D30</f>
        <v>6000</v>
      </c>
      <c r="F16">
        <v>1</v>
      </c>
      <c r="G16" s="171"/>
      <c r="H16" s="64">
        <v>0</v>
      </c>
    </row>
    <row r="17" spans="1:8" ht="15" x14ac:dyDescent="0.3">
      <c r="A17" s="83">
        <f>Saldobalance!A32</f>
        <v>1325</v>
      </c>
      <c r="B17" s="58">
        <f>'Regnskab og budget'!$F$2</f>
        <v>45292</v>
      </c>
      <c r="C17" s="58">
        <f>'Regnskab og budget'!$H$2</f>
        <v>45657</v>
      </c>
      <c r="D17" s="20" t="str">
        <f>'Regnskab og budget'!A31</f>
        <v>Lys, blomster</v>
      </c>
      <c r="E17" s="59">
        <f>'Regnskab og budget'!J31-'Regnskab og budget'!D31</f>
        <v>0</v>
      </c>
      <c r="F17">
        <v>1</v>
      </c>
      <c r="G17" s="171"/>
      <c r="H17" s="64">
        <v>0</v>
      </c>
    </row>
    <row r="18" spans="1:8" ht="15" x14ac:dyDescent="0.3">
      <c r="A18" s="83">
        <f>Saldobalance!A33</f>
        <v>1326</v>
      </c>
      <c r="B18" s="58">
        <f>'Regnskab og budget'!$F$2</f>
        <v>45292</v>
      </c>
      <c r="C18" s="58">
        <f>'Regnskab og budget'!$H$2</f>
        <v>45657</v>
      </c>
      <c r="D18" s="20" t="str">
        <f>'Regnskab og budget'!A32</f>
        <v>Krydderier</v>
      </c>
      <c r="E18" s="59">
        <f>'Regnskab og budget'!J32-'Regnskab og budget'!D32</f>
        <v>200</v>
      </c>
      <c r="F18">
        <v>1</v>
      </c>
      <c r="G18" s="171"/>
      <c r="H18" s="64">
        <v>0</v>
      </c>
    </row>
    <row r="19" spans="1:8" ht="15" x14ac:dyDescent="0.3">
      <c r="A19" s="83">
        <f>Saldobalance!A34</f>
        <v>1327</v>
      </c>
      <c r="B19" s="58">
        <f>'Regnskab og budget'!$F$2</f>
        <v>45292</v>
      </c>
      <c r="C19" s="58">
        <f>'Regnskab og budget'!$H$2</f>
        <v>45657</v>
      </c>
      <c r="D19" s="20" t="str">
        <f>'Regnskab og budget'!A33</f>
        <v>Diverse Fælleshus</v>
      </c>
      <c r="E19" s="59">
        <f>'Regnskab og budget'!J33-'Regnskab og budget'!D33</f>
        <v>0</v>
      </c>
      <c r="F19">
        <v>1</v>
      </c>
      <c r="G19" s="171"/>
      <c r="H19" s="64">
        <v>0</v>
      </c>
    </row>
    <row r="20" spans="1:8" s="148" customFormat="1" ht="15" x14ac:dyDescent="0.3">
      <c r="A20" s="83">
        <f>Saldobalance!A35</f>
        <v>1328</v>
      </c>
      <c r="B20" s="58">
        <f>'Regnskab og budget'!$F$2</f>
        <v>45292</v>
      </c>
      <c r="C20" s="58">
        <f>'Regnskab og budget'!$H$2</f>
        <v>45657</v>
      </c>
      <c r="D20" s="20" t="s">
        <v>287</v>
      </c>
      <c r="E20" s="59">
        <v>0</v>
      </c>
      <c r="F20" s="148">
        <v>1</v>
      </c>
      <c r="G20" s="171"/>
      <c r="H20" s="64">
        <v>0</v>
      </c>
    </row>
    <row r="21" spans="1:8" ht="15" x14ac:dyDescent="0.3">
      <c r="A21" s="83">
        <f>Saldobalance!A39</f>
        <v>1331</v>
      </c>
      <c r="B21" s="58">
        <f>'Regnskab og budget'!$F$2</f>
        <v>45292</v>
      </c>
      <c r="C21" s="58">
        <f>'Regnskab og budget'!$H$2</f>
        <v>45657</v>
      </c>
      <c r="D21" s="20" t="str">
        <f>'Regnskab og budget'!A36</f>
        <v>Gaver</v>
      </c>
      <c r="E21" s="59">
        <f>'Regnskab og budget'!J36-'Regnskab og budget'!D36</f>
        <v>-2000</v>
      </c>
      <c r="F21">
        <v>1</v>
      </c>
      <c r="G21" s="171"/>
      <c r="H21" s="64">
        <v>0</v>
      </c>
    </row>
    <row r="22" spans="1:8" ht="15" x14ac:dyDescent="0.3">
      <c r="A22" s="83">
        <f>Saldobalance!A40</f>
        <v>1332</v>
      </c>
      <c r="B22" s="58">
        <f>'Regnskab og budget'!$F$2</f>
        <v>45292</v>
      </c>
      <c r="C22" s="58">
        <f>'Regnskab og budget'!$H$2</f>
        <v>45657</v>
      </c>
      <c r="D22" s="20" t="str">
        <f>'Regnskab og budget'!A37</f>
        <v>Fester/kultur</v>
      </c>
      <c r="E22" s="59">
        <f>'Regnskab og budget'!J37-'Regnskab og budget'!D37</f>
        <v>-3000</v>
      </c>
      <c r="F22">
        <v>1</v>
      </c>
      <c r="G22" s="171"/>
      <c r="H22" s="64">
        <v>0</v>
      </c>
    </row>
    <row r="23" spans="1:8" ht="15" x14ac:dyDescent="0.3">
      <c r="A23" s="83">
        <f>Saldobalance!A41</f>
        <v>1333</v>
      </c>
      <c r="B23" s="58">
        <f>'Regnskab og budget'!$F$2</f>
        <v>45292</v>
      </c>
      <c r="C23" s="58">
        <f>'Regnskab og budget'!$H$2</f>
        <v>45657</v>
      </c>
      <c r="D23" s="20" t="str">
        <f>'Regnskab og budget'!A38</f>
        <v>Fortæring arbejdsweekends</v>
      </c>
      <c r="E23" s="59">
        <f>'Regnskab og budget'!J38-'Regnskab og budget'!D38</f>
        <v>1000</v>
      </c>
      <c r="F23">
        <v>1</v>
      </c>
      <c r="G23" s="171"/>
      <c r="H23" s="64">
        <v>0</v>
      </c>
    </row>
    <row r="24" spans="1:8" ht="15" x14ac:dyDescent="0.3">
      <c r="A24" s="83">
        <f>Saldobalance!A42</f>
        <v>1334</v>
      </c>
      <c r="B24" s="58">
        <f>'Regnskab og budget'!$F$2</f>
        <v>45292</v>
      </c>
      <c r="C24" s="58">
        <f>'Regnskab og budget'!$H$2</f>
        <v>45657</v>
      </c>
      <c r="D24" s="20" t="str">
        <f>'Regnskab og budget'!A39</f>
        <v>Fortæring generalforsamling</v>
      </c>
      <c r="E24" s="59">
        <f>'Regnskab og budget'!J39-'Regnskab og budget'!D39</f>
        <v>1500</v>
      </c>
      <c r="F24">
        <v>1</v>
      </c>
      <c r="G24" s="171"/>
      <c r="H24" s="64">
        <v>0</v>
      </c>
    </row>
    <row r="25" spans="1:8" ht="15" x14ac:dyDescent="0.3">
      <c r="A25" s="83">
        <f>Saldobalance!A43</f>
        <v>1335</v>
      </c>
      <c r="B25" s="58">
        <f>'Regnskab og budget'!$F$2</f>
        <v>45292</v>
      </c>
      <c r="C25" s="58">
        <f>'Regnskab og budget'!$H$2</f>
        <v>45657</v>
      </c>
      <c r="D25" s="20" t="str">
        <f>'Regnskab og budget'!A40</f>
        <v>Adventsarrangementer</v>
      </c>
      <c r="E25" s="59">
        <f>'Regnskab og budget'!J40-'Regnskab og budget'!D40</f>
        <v>500</v>
      </c>
      <c r="F25">
        <v>1</v>
      </c>
      <c r="G25" s="171"/>
      <c r="H25" s="64">
        <v>0</v>
      </c>
    </row>
    <row r="26" spans="1:8" ht="15" x14ac:dyDescent="0.3">
      <c r="A26" s="83">
        <f>Saldobalance!A44</f>
        <v>1336</v>
      </c>
      <c r="B26" s="58">
        <f>'Regnskab og budget'!$F$2</f>
        <v>45292</v>
      </c>
      <c r="C26" s="58">
        <f>'Regnskab og budget'!$H$2</f>
        <v>45657</v>
      </c>
      <c r="D26" s="20" t="str">
        <f>'Regnskab og budget'!A41</f>
        <v>Fastelavn</v>
      </c>
      <c r="E26" s="59">
        <f>'Regnskab og budget'!J41-'Regnskab og budget'!D41</f>
        <v>0</v>
      </c>
      <c r="F26">
        <v>1</v>
      </c>
      <c r="G26" s="171"/>
      <c r="H26" s="64">
        <v>0</v>
      </c>
    </row>
    <row r="27" spans="1:8" ht="15" x14ac:dyDescent="0.3">
      <c r="A27" s="83">
        <f>Saldobalance!A45</f>
        <v>1337</v>
      </c>
      <c r="B27" s="58">
        <f>'Regnskab og budget'!$F$2</f>
        <v>45292</v>
      </c>
      <c r="C27" s="58">
        <f>'Regnskab og budget'!$H$2</f>
        <v>45657</v>
      </c>
      <c r="D27" s="20" t="str">
        <f>'Regnskab og budget'!A42</f>
        <v>Cafemøder og fællesmøder</v>
      </c>
      <c r="E27" s="59">
        <f>'Regnskab og budget'!J42-'Regnskab og budget'!D42</f>
        <v>0</v>
      </c>
      <c r="F27">
        <v>1</v>
      </c>
      <c r="G27" s="171"/>
      <c r="H27" s="64">
        <v>0</v>
      </c>
    </row>
    <row r="28" spans="1:8" ht="15" x14ac:dyDescent="0.3">
      <c r="A28" s="83">
        <f>Saldobalance!A46</f>
        <v>1338</v>
      </c>
      <c r="B28" s="58">
        <f>'Regnskab og budget'!$F$2</f>
        <v>45292</v>
      </c>
      <c r="C28" s="58">
        <f>'Regnskab og budget'!$H$2</f>
        <v>45657</v>
      </c>
      <c r="D28" s="20" t="str">
        <f>'Regnskab og budget'!A43</f>
        <v>Bakkeweekend</v>
      </c>
      <c r="E28" s="59">
        <f>'Regnskab og budget'!J43-'Regnskab og budget'!D43</f>
        <v>0</v>
      </c>
      <c r="F28">
        <v>1</v>
      </c>
      <c r="G28" s="171"/>
      <c r="H28" s="64">
        <v>0</v>
      </c>
    </row>
    <row r="29" spans="1:8" ht="15" x14ac:dyDescent="0.3">
      <c r="A29" s="83">
        <f>Saldobalance!A47</f>
        <v>1339</v>
      </c>
      <c r="B29" s="58">
        <f>'Regnskab og budget'!$F$2</f>
        <v>45292</v>
      </c>
      <c r="C29" s="58">
        <f>'Regnskab og budget'!$H$2</f>
        <v>45657</v>
      </c>
      <c r="D29" s="20" t="str">
        <f>'Regnskab og budget'!A44</f>
        <v>Skt. Hans</v>
      </c>
      <c r="E29" s="59">
        <f>'Regnskab og budget'!J44-'Regnskab og budget'!D44</f>
        <v>0</v>
      </c>
      <c r="F29" s="149">
        <v>1</v>
      </c>
      <c r="G29" s="171"/>
      <c r="H29" s="64">
        <v>1</v>
      </c>
    </row>
    <row r="30" spans="1:8" s="149" customFormat="1" ht="15" x14ac:dyDescent="0.3">
      <c r="A30" s="83">
        <f>Saldobalance!A48</f>
        <v>1340</v>
      </c>
      <c r="B30" s="58">
        <f>'Regnskab og budget'!$F$2</f>
        <v>45292</v>
      </c>
      <c r="C30" s="58">
        <f>'Regnskab og budget'!$H$2</f>
        <v>45657</v>
      </c>
      <c r="D30" s="20" t="str">
        <f>'Regnskab og budget'!A45</f>
        <v>Torvedag</v>
      </c>
      <c r="E30" s="59">
        <f>'Regnskab og budget'!J45-'Regnskab og budget'!D45</f>
        <v>0</v>
      </c>
      <c r="F30" s="149">
        <v>1</v>
      </c>
      <c r="G30" s="171"/>
      <c r="H30" s="64">
        <v>2</v>
      </c>
    </row>
    <row r="31" spans="1:8" ht="15" x14ac:dyDescent="0.3">
      <c r="A31" s="83">
        <f>Saldobalance!A52</f>
        <v>1351</v>
      </c>
      <c r="B31" s="58">
        <f>'Regnskab og budget'!$F$2</f>
        <v>45292</v>
      </c>
      <c r="C31" s="58">
        <f>'Regnskab og budget'!$H$2</f>
        <v>45657</v>
      </c>
      <c r="D31" s="20" t="str">
        <f>'Regnskab og budget'!A48</f>
        <v>Telefon / bredbånd</v>
      </c>
      <c r="E31" s="59">
        <f>'Regnskab og budget'!J48-'Regnskab og budget'!D48</f>
        <v>100</v>
      </c>
      <c r="F31">
        <v>1</v>
      </c>
      <c r="G31" s="171"/>
      <c r="H31" s="64">
        <v>0</v>
      </c>
    </row>
    <row r="32" spans="1:8" ht="15" x14ac:dyDescent="0.3">
      <c r="A32" s="83">
        <f>Saldobalance!A53</f>
        <v>1352</v>
      </c>
      <c r="B32" s="58">
        <f>'Regnskab og budget'!$F$2</f>
        <v>45292</v>
      </c>
      <c r="C32" s="58">
        <f>'Regnskab og budget'!$H$2</f>
        <v>45657</v>
      </c>
      <c r="D32" s="20" t="str">
        <f>'Regnskab og budget'!A49</f>
        <v>TV + licens</v>
      </c>
      <c r="E32" s="59">
        <f>'Regnskab og budget'!J49-'Regnskab og budget'!D49</f>
        <v>1100</v>
      </c>
      <c r="F32">
        <v>1</v>
      </c>
      <c r="G32" s="171"/>
      <c r="H32" s="64">
        <v>0</v>
      </c>
    </row>
    <row r="33" spans="1:8" ht="15" x14ac:dyDescent="0.3">
      <c r="A33" s="83">
        <f>Saldobalance!A54</f>
        <v>1353</v>
      </c>
      <c r="B33" s="58">
        <f>'Regnskab og budget'!$F$2</f>
        <v>45292</v>
      </c>
      <c r="C33" s="58">
        <f>'Regnskab og budget'!$H$2</f>
        <v>45657</v>
      </c>
      <c r="D33" s="20" t="str">
        <f>'Regnskab og budget'!A50</f>
        <v>Hjemmeside/e-mail</v>
      </c>
      <c r="E33" s="59">
        <f>'Regnskab og budget'!J50-'Regnskab og budget'!D50</f>
        <v>0</v>
      </c>
      <c r="F33">
        <v>1</v>
      </c>
      <c r="G33" s="171"/>
      <c r="H33" s="64">
        <v>0</v>
      </c>
    </row>
    <row r="34" spans="1:8" s="113" customFormat="1" ht="15" x14ac:dyDescent="0.3">
      <c r="A34" s="83">
        <f>Saldobalance!A55</f>
        <v>1355</v>
      </c>
      <c r="B34" s="58">
        <f>'Regnskab og budget'!$F$2</f>
        <v>45292</v>
      </c>
      <c r="C34" s="58">
        <f>'Regnskab og budget'!$H$2</f>
        <v>45657</v>
      </c>
      <c r="D34" s="20" t="str">
        <f>'Regnskab og budget'!A51</f>
        <v>Tidsskrifter</v>
      </c>
      <c r="E34" s="59">
        <f>'Regnskab og budget'!J51-'Regnskab og budget'!D51</f>
        <v>0</v>
      </c>
      <c r="F34">
        <v>1</v>
      </c>
      <c r="G34" s="171"/>
      <c r="H34" s="64">
        <v>0</v>
      </c>
    </row>
    <row r="35" spans="1:8" ht="15" x14ac:dyDescent="0.3">
      <c r="A35" s="83">
        <f>Saldobalance!A57</f>
        <v>1375</v>
      </c>
      <c r="B35" s="58">
        <f>'Regnskab og budget'!$F$2</f>
        <v>45292</v>
      </c>
      <c r="C35" s="58">
        <f>'Regnskab og budget'!$H$2</f>
        <v>45657</v>
      </c>
      <c r="D35" s="20" t="str">
        <f>'Regnskab og budget'!A53</f>
        <v>Genanskaffelser</v>
      </c>
      <c r="E35" s="59">
        <f>'Regnskab og budget'!K53-'Regnskab og budget'!E53</f>
        <v>0</v>
      </c>
      <c r="F35" s="113">
        <v>1</v>
      </c>
      <c r="G35" s="171"/>
      <c r="H35" s="64">
        <v>0</v>
      </c>
    </row>
    <row r="36" spans="1:8" ht="15" x14ac:dyDescent="0.3">
      <c r="A36" s="83">
        <f>Saldobalance!A58</f>
        <v>1376</v>
      </c>
      <c r="B36" s="58">
        <f>'Regnskab og budget'!$F$2</f>
        <v>45292</v>
      </c>
      <c r="C36" s="58">
        <f>'Regnskab og budget'!$H$2</f>
        <v>45657</v>
      </c>
      <c r="D36" s="20" t="str">
        <f>'Regnskab og budget'!A55</f>
        <v>Nyanskaffelser</v>
      </c>
      <c r="E36" s="59">
        <f>'Regnskab og budget'!K55-'Regnskab og budget'!E55</f>
        <v>-20000</v>
      </c>
      <c r="F36">
        <v>1</v>
      </c>
      <c r="G36" s="171"/>
      <c r="H36" s="64">
        <v>0</v>
      </c>
    </row>
    <row r="37" spans="1:8" ht="15" x14ac:dyDescent="0.3">
      <c r="A37" s="83">
        <f>Saldobalance!A59</f>
        <v>1378</v>
      </c>
      <c r="B37" s="58">
        <f>'Regnskab og budget'!$F$2</f>
        <v>45292</v>
      </c>
      <c r="C37" s="58">
        <f>'Regnskab og budget'!$H$2</f>
        <v>45657</v>
      </c>
      <c r="D37" s="20" t="str">
        <f>'Regnskab og budget'!A57</f>
        <v>Markedsføring</v>
      </c>
      <c r="E37" s="59">
        <f>'Regnskab og budget'!K57-'Regnskab og budget'!E57</f>
        <v>-300</v>
      </c>
      <c r="F37">
        <v>1</v>
      </c>
      <c r="G37" s="171"/>
      <c r="H37" s="64">
        <v>0</v>
      </c>
    </row>
    <row r="38" spans="1:8" ht="15" x14ac:dyDescent="0.3">
      <c r="A38" s="83">
        <f>Saldobalance!A62</f>
        <v>1381</v>
      </c>
      <c r="B38" s="58">
        <f>'Regnskab og budget'!$F$2</f>
        <v>45292</v>
      </c>
      <c r="C38" s="58">
        <f>'Regnskab og budget'!$H$2</f>
        <v>45657</v>
      </c>
      <c r="D38" s="20" t="str">
        <f>'Regnskab og budget'!A60</f>
        <v>Øvrige Fåreindtægter</v>
      </c>
      <c r="E38" s="59">
        <f>'Regnskab og budget'!K60-'Regnskab og budget'!E60</f>
        <v>0</v>
      </c>
      <c r="F38">
        <v>1</v>
      </c>
      <c r="G38" s="171" t="s">
        <v>24</v>
      </c>
      <c r="H38" s="64">
        <v>0</v>
      </c>
    </row>
    <row r="39" spans="1:8" ht="15" x14ac:dyDescent="0.3">
      <c r="A39" s="83">
        <f>Saldobalance!A63</f>
        <v>1382</v>
      </c>
      <c r="B39" s="58">
        <f>'Regnskab og budget'!$F$2</f>
        <v>45292</v>
      </c>
      <c r="C39" s="58">
        <f>'Regnskab og budget'!$H$2</f>
        <v>45657</v>
      </c>
      <c r="D39" s="20" t="str">
        <f>'Regnskab og budget'!A61</f>
        <v>Salg af fåreprodukter (Brutto)</v>
      </c>
      <c r="E39" s="59">
        <f>'Regnskab og budget'!K61-'Regnskab og budget'!E61</f>
        <v>0</v>
      </c>
      <c r="F39">
        <v>1</v>
      </c>
      <c r="G39" t="s">
        <v>24</v>
      </c>
      <c r="H39" s="64">
        <v>0</v>
      </c>
    </row>
    <row r="40" spans="1:8" ht="15" x14ac:dyDescent="0.3">
      <c r="A40" s="83">
        <f>Saldobalance!A64</f>
        <v>1383</v>
      </c>
      <c r="B40" s="58">
        <f>'Regnskab og budget'!$F$2</f>
        <v>45292</v>
      </c>
      <c r="C40" s="58">
        <f>'Regnskab og budget'!$H$2</f>
        <v>45657</v>
      </c>
      <c r="D40" s="20" t="str">
        <f>'Regnskab og budget'!A62</f>
        <v>Rabat på fåreprodukter</v>
      </c>
      <c r="E40" s="59">
        <f>'Regnskab og budget'!J62-'Regnskab og budget'!D62</f>
        <v>0</v>
      </c>
      <c r="F40">
        <v>1</v>
      </c>
      <c r="H40" s="64">
        <v>0</v>
      </c>
    </row>
    <row r="41" spans="1:8" ht="15" x14ac:dyDescent="0.3">
      <c r="A41" s="83">
        <f>Saldobalance!A65</f>
        <v>1384</v>
      </c>
      <c r="B41" s="58">
        <f>'Regnskab og budget'!$F$2</f>
        <v>45292</v>
      </c>
      <c r="C41" s="58">
        <f>'Regnskab og budget'!$H$2</f>
        <v>45657</v>
      </c>
      <c r="D41" s="20" t="str">
        <f>'Regnskab og budget'!A63</f>
        <v>Løbende omkostninger/får</v>
      </c>
      <c r="E41" s="59">
        <f>'Regnskab og budget'!J63-'Regnskab og budget'!D63</f>
        <v>0</v>
      </c>
      <c r="F41">
        <v>1</v>
      </c>
      <c r="G41" s="171"/>
      <c r="H41" s="64">
        <v>0</v>
      </c>
    </row>
    <row r="42" spans="1:8" ht="15" x14ac:dyDescent="0.3">
      <c r="A42" s="83">
        <f>Saldobalance!A66</f>
        <v>1392</v>
      </c>
      <c r="B42" s="58">
        <f>'Regnskab og budget'!$F$2</f>
        <v>45292</v>
      </c>
      <c r="C42" s="58">
        <f>'Regnskab og budget'!$H$2</f>
        <v>45657</v>
      </c>
      <c r="D42" s="20" t="str">
        <f>'Regnskab og budget'!A64</f>
        <v>Engangsomkostninger/får</v>
      </c>
      <c r="E42" s="59">
        <f>'Regnskab og budget'!J64-'Regnskab og budget'!D64</f>
        <v>0</v>
      </c>
      <c r="F42">
        <v>1</v>
      </c>
      <c r="G42" s="171"/>
      <c r="H42" s="64">
        <v>0</v>
      </c>
    </row>
    <row r="43" spans="1:8" ht="15" x14ac:dyDescent="0.3">
      <c r="A43" s="83">
        <f>Saldobalance!A67</f>
        <v>1397</v>
      </c>
      <c r="B43" s="58">
        <f>'Regnskab og budget'!$F$2</f>
        <v>45292</v>
      </c>
      <c r="C43" s="58">
        <f>'Regnskab og budget'!$H$2</f>
        <v>45657</v>
      </c>
      <c r="D43" s="20" t="str">
        <f>'Regnskab og budget'!A65</f>
        <v>Årets udvikling/får</v>
      </c>
      <c r="E43" s="59">
        <f>'Regnskab og budget'!J65-'Regnskab og budget'!D65</f>
        <v>0</v>
      </c>
      <c r="F43">
        <v>1</v>
      </c>
      <c r="G43" s="171"/>
      <c r="H43" s="64">
        <v>0</v>
      </c>
    </row>
    <row r="44" spans="1:8" s="150" customFormat="1" ht="15" x14ac:dyDescent="0.3">
      <c r="A44" s="83">
        <f>Saldobalance!A71</f>
        <v>1410</v>
      </c>
      <c r="B44" s="58">
        <f>'Regnskab og budget'!$F$2</f>
        <v>45292</v>
      </c>
      <c r="C44" s="58">
        <f>'Regnskab og budget'!$H$2</f>
        <v>45657</v>
      </c>
      <c r="D44" s="20" t="str">
        <f>'Regnskab og budget'!A68</f>
        <v>Overskud fra strømforbrug</v>
      </c>
      <c r="E44" s="59">
        <f>'Regnskab og budget'!K68-'Regnskab og budget'!E68</f>
        <v>852</v>
      </c>
      <c r="F44" s="150">
        <v>1</v>
      </c>
      <c r="G44" s="150" t="s">
        <v>24</v>
      </c>
      <c r="H44" s="64">
        <v>0</v>
      </c>
    </row>
    <row r="45" spans="1:8" s="150" customFormat="1" ht="15" x14ac:dyDescent="0.3">
      <c r="A45" s="83">
        <f>Saldobalance!A72</f>
        <v>1420</v>
      </c>
      <c r="B45" s="58">
        <f>'Regnskab og budget'!$F$2</f>
        <v>45292</v>
      </c>
      <c r="C45" s="58">
        <f>'Regnskab og budget'!$H$2</f>
        <v>45657</v>
      </c>
      <c r="D45" s="20" t="str">
        <f>'Regnskab og budget'!A69</f>
        <v>Underskud fra strømforbrug</v>
      </c>
      <c r="E45" s="59">
        <f>'Regnskab og budget'!J69-'Regnskab og budget'!D69</f>
        <v>0</v>
      </c>
      <c r="F45" s="150">
        <v>1</v>
      </c>
      <c r="H45" s="64">
        <v>0</v>
      </c>
    </row>
    <row r="46" spans="1:8" s="152" customFormat="1" ht="15" x14ac:dyDescent="0.3">
      <c r="A46" s="83">
        <f>Saldobalance!A73</f>
        <v>1423</v>
      </c>
      <c r="B46" s="58">
        <f>'Regnskab og budget'!$F$2</f>
        <v>45292</v>
      </c>
      <c r="C46" s="58">
        <f>'Regnskab og budget'!$H$2</f>
        <v>45657</v>
      </c>
      <c r="D46" s="20" t="str">
        <f>'Regnskab og budget'!A70</f>
        <v>Leje af ladere</v>
      </c>
      <c r="E46" s="59">
        <f>'Regnskab og budget'!J70-'Regnskab og budget'!D70</f>
        <v>-852</v>
      </c>
      <c r="F46" s="152">
        <v>1</v>
      </c>
      <c r="G46" s="171"/>
      <c r="H46" s="64">
        <v>0</v>
      </c>
    </row>
    <row r="47" spans="1:8" s="150" customFormat="1" ht="15" x14ac:dyDescent="0.3">
      <c r="A47" s="83">
        <f>Saldobalance!A74</f>
        <v>1425</v>
      </c>
      <c r="B47" s="58">
        <f>'Regnskab og budget'!$F$2</f>
        <v>45292</v>
      </c>
      <c r="C47" s="58">
        <f>'Regnskab og budget'!$H$2</f>
        <v>45657</v>
      </c>
      <c r="D47" s="20" t="str">
        <f>'Regnskab og budget'!A71</f>
        <v>Elbilsforeningen mellemregninger</v>
      </c>
      <c r="E47" s="59">
        <f>'Regnskab og budget'!J71-'Regnskab og budget'!D71</f>
        <v>0</v>
      </c>
      <c r="F47" s="152">
        <v>1</v>
      </c>
      <c r="G47" s="171"/>
      <c r="H47" s="64">
        <v>0</v>
      </c>
    </row>
    <row r="48" spans="1:8" ht="15" x14ac:dyDescent="0.3">
      <c r="A48" s="83">
        <f>Saldobalance!A75</f>
        <v>1427</v>
      </c>
      <c r="B48" s="58">
        <f>'Regnskab og budget'!$F$2</f>
        <v>45292</v>
      </c>
      <c r="C48" s="58">
        <f>'Regnskab og budget'!$H$2</f>
        <v>45657</v>
      </c>
      <c r="D48" s="20" t="s">
        <v>287</v>
      </c>
      <c r="E48" s="59">
        <v>0</v>
      </c>
      <c r="F48">
        <v>1</v>
      </c>
      <c r="G48" s="171"/>
      <c r="H48" s="64">
        <v>0</v>
      </c>
    </row>
    <row r="49" spans="1:8" ht="15" x14ac:dyDescent="0.3">
      <c r="A49" s="83">
        <f>Saldobalance!A76</f>
        <v>1430</v>
      </c>
      <c r="B49" s="58">
        <f>'Regnskab og budget'!$F$2</f>
        <v>45292</v>
      </c>
      <c r="C49" s="58">
        <f>'Regnskab og budget'!$H$2</f>
        <v>45657</v>
      </c>
      <c r="D49" s="20" t="s">
        <v>287</v>
      </c>
      <c r="E49" s="59">
        <v>0</v>
      </c>
      <c r="F49">
        <v>1</v>
      </c>
      <c r="G49" s="171"/>
      <c r="H49" s="64">
        <v>0</v>
      </c>
    </row>
    <row r="50" spans="1:8" ht="15" x14ac:dyDescent="0.3">
      <c r="A50" s="83">
        <f>Saldobalance!A77</f>
        <v>1440</v>
      </c>
      <c r="B50" s="58">
        <f>'Regnskab og budget'!$F$2</f>
        <v>45292</v>
      </c>
      <c r="C50" s="58">
        <f>'Regnskab og budget'!$H$2</f>
        <v>45657</v>
      </c>
      <c r="D50" s="20" t="s">
        <v>287</v>
      </c>
      <c r="E50" s="59">
        <v>0</v>
      </c>
      <c r="F50">
        <v>1</v>
      </c>
      <c r="G50" s="171"/>
      <c r="H50" s="64">
        <v>0</v>
      </c>
    </row>
    <row r="51" spans="1:8" ht="15" x14ac:dyDescent="0.3">
      <c r="A51" s="83">
        <f>Saldobalance!A78</f>
        <v>1450</v>
      </c>
      <c r="B51" s="58">
        <f>'Regnskab og budget'!$F$2</f>
        <v>45292</v>
      </c>
      <c r="C51" s="58">
        <f>'Regnskab og budget'!$H$2</f>
        <v>45657</v>
      </c>
      <c r="D51" s="20" t="s">
        <v>287</v>
      </c>
      <c r="E51" s="59">
        <v>0</v>
      </c>
      <c r="F51">
        <v>1</v>
      </c>
      <c r="G51" s="171"/>
      <c r="H51" s="64">
        <v>0</v>
      </c>
    </row>
    <row r="52" spans="1:8" ht="15" x14ac:dyDescent="0.3">
      <c r="A52" s="83">
        <f>Saldobalance!A79</f>
        <v>1460</v>
      </c>
      <c r="B52" s="58">
        <f>'Regnskab og budget'!$F$2</f>
        <v>45292</v>
      </c>
      <c r="C52" s="58">
        <f>'Regnskab og budget'!$H$2</f>
        <v>45657</v>
      </c>
      <c r="D52" s="20" t="s">
        <v>287</v>
      </c>
      <c r="E52" s="59">
        <v>0</v>
      </c>
      <c r="F52">
        <v>1</v>
      </c>
      <c r="G52" s="171"/>
      <c r="H52" s="64">
        <v>0</v>
      </c>
    </row>
    <row r="53" spans="1:8" ht="15" x14ac:dyDescent="0.3">
      <c r="A53" s="83">
        <f>Saldobalance!A80</f>
        <v>1470</v>
      </c>
      <c r="B53" s="58">
        <f>'Regnskab og budget'!$F$2</f>
        <v>45292</v>
      </c>
      <c r="C53" s="58">
        <f>'Regnskab og budget'!$H$2</f>
        <v>45657</v>
      </c>
      <c r="D53" s="20" t="s">
        <v>287</v>
      </c>
      <c r="E53" s="59">
        <v>0</v>
      </c>
      <c r="F53">
        <v>1</v>
      </c>
      <c r="G53" s="171"/>
      <c r="H53" s="64">
        <v>0</v>
      </c>
    </row>
    <row r="54" spans="1:8" ht="15" x14ac:dyDescent="0.3">
      <c r="A54" s="83">
        <f>Saldobalance!A81</f>
        <v>1480</v>
      </c>
      <c r="B54" s="58">
        <f>'Regnskab og budget'!$F$2</f>
        <v>45292</v>
      </c>
      <c r="C54" s="58">
        <f>'Regnskab og budget'!$H$2</f>
        <v>45657</v>
      </c>
      <c r="D54" s="20" t="s">
        <v>287</v>
      </c>
      <c r="E54" s="59">
        <v>0</v>
      </c>
      <c r="F54">
        <v>1</v>
      </c>
      <c r="G54" s="171"/>
      <c r="H54" s="64">
        <v>0</v>
      </c>
    </row>
    <row r="55" spans="1:8" ht="15" x14ac:dyDescent="0.3">
      <c r="A55" s="83">
        <f>Saldobalance!A85</f>
        <v>1997</v>
      </c>
      <c r="B55" s="58">
        <f>'Regnskab og budget'!$F$2</f>
        <v>45292</v>
      </c>
      <c r="C55" s="58">
        <f>'Regnskab og budget'!$H$2</f>
        <v>45657</v>
      </c>
      <c r="D55" s="20" t="str">
        <f>'Regnskab og budget'!A73</f>
        <v>Diverse variable omkostninger</v>
      </c>
      <c r="E55" s="59">
        <f>'Regnskab og budget'!K73-'Regnskab og budget'!E73</f>
        <v>0</v>
      </c>
      <c r="F55">
        <v>1</v>
      </c>
      <c r="G55" s="171"/>
      <c r="H55" s="64">
        <v>0</v>
      </c>
    </row>
    <row r="56" spans="1:8" ht="15" x14ac:dyDescent="0.3">
      <c r="A56" s="83">
        <f>Saldobalance!A90</f>
        <v>2210</v>
      </c>
      <c r="B56" s="58">
        <f>'Regnskab og budget'!$F$2</f>
        <v>45292</v>
      </c>
      <c r="C56" s="58">
        <f>'Regnskab og budget'!$H$2</f>
        <v>45657</v>
      </c>
      <c r="D56" s="20" t="str">
        <f>'Regnskab og budget'!A81</f>
        <v>Ejendomsskat</v>
      </c>
      <c r="E56" s="59">
        <f>'Regnskab og budget'!K81-'Regnskab og budget'!E81</f>
        <v>1487.5500000000029</v>
      </c>
      <c r="F56">
        <v>1</v>
      </c>
      <c r="G56" s="171"/>
      <c r="H56" s="64">
        <v>0</v>
      </c>
    </row>
    <row r="57" spans="1:8" ht="15" x14ac:dyDescent="0.3">
      <c r="A57" s="83">
        <f>Saldobalance!A91</f>
        <v>2220</v>
      </c>
      <c r="B57" s="58">
        <f>'Regnskab og budget'!$F$2</f>
        <v>45292</v>
      </c>
      <c r="C57" s="58">
        <f>'Regnskab og budget'!$H$2</f>
        <v>45657</v>
      </c>
      <c r="D57" s="20" t="str">
        <f>'Regnskab og budget'!A83</f>
        <v>Forsikringer - TopDK 9554 652 384</v>
      </c>
      <c r="E57" s="59">
        <f>'Regnskab og budget'!K83-'Regnskab og budget'!E83</f>
        <v>4047.1200000000026</v>
      </c>
      <c r="F57">
        <v>1</v>
      </c>
      <c r="G57" s="171"/>
      <c r="H57" s="64">
        <v>0</v>
      </c>
    </row>
    <row r="58" spans="1:8" ht="15" x14ac:dyDescent="0.3">
      <c r="A58" s="83">
        <f>Saldobalance!A94</f>
        <v>2231</v>
      </c>
      <c r="B58" s="58">
        <f>'Regnskab og budget'!$F$2</f>
        <v>45292</v>
      </c>
      <c r="C58" s="58">
        <f>'Regnskab og budget'!$H$2</f>
        <v>45657</v>
      </c>
      <c r="D58" s="20" t="s">
        <v>287</v>
      </c>
      <c r="E58" s="59">
        <v>0</v>
      </c>
      <c r="F58">
        <v>1</v>
      </c>
      <c r="G58" s="171"/>
      <c r="H58" s="64">
        <v>0</v>
      </c>
    </row>
    <row r="59" spans="1:8" ht="15" x14ac:dyDescent="0.3">
      <c r="A59" s="83">
        <f>Saldobalance!A95</f>
        <v>2232</v>
      </c>
      <c r="B59" s="58">
        <f>'Regnskab og budget'!$F$2</f>
        <v>45292</v>
      </c>
      <c r="C59" s="58">
        <f>'Regnskab og budget'!$H$2</f>
        <v>45657</v>
      </c>
      <c r="D59" s="20" t="str">
        <f>'Regnskab og budget'!A89</f>
        <v>Ovn, 2020</v>
      </c>
      <c r="E59" s="59">
        <f>'Regnskab og budget'!J89-'Regnskab og budget'!D89</f>
        <v>0</v>
      </c>
      <c r="F59">
        <v>1</v>
      </c>
      <c r="G59" s="171"/>
      <c r="H59" s="64">
        <v>0</v>
      </c>
    </row>
    <row r="60" spans="1:8" ht="15" x14ac:dyDescent="0.3">
      <c r="A60" s="83">
        <f>Saldobalance!A96</f>
        <v>2233</v>
      </c>
      <c r="B60" s="58">
        <f>'Regnskab og budget'!$F$2</f>
        <v>45292</v>
      </c>
      <c r="C60" s="58">
        <f>'Regnskab og budget'!$H$2</f>
        <v>45657</v>
      </c>
      <c r="D60" s="20" t="str">
        <f>'Regnskab og budget'!A90</f>
        <v>Jordvarme - kassekredit, 2018</v>
      </c>
      <c r="E60" s="59">
        <f>'Regnskab og budget'!J90-'Regnskab og budget'!D90</f>
        <v>-2517.8159090909157</v>
      </c>
      <c r="F60">
        <v>1</v>
      </c>
      <c r="G60" s="171"/>
      <c r="H60" s="64">
        <v>0</v>
      </c>
    </row>
    <row r="61" spans="1:8" ht="15" x14ac:dyDescent="0.3">
      <c r="A61" s="83">
        <f>Saldobalance!A97</f>
        <v>2234</v>
      </c>
      <c r="B61" s="58">
        <f>'Regnskab og budget'!$F$2</f>
        <v>45292</v>
      </c>
      <c r="C61" s="58">
        <f>'Regnskab og budget'!$H$2</f>
        <v>45657</v>
      </c>
      <c r="D61" s="20" t="str">
        <f>'Regnskab og budget'!A87</f>
        <v>Tørretumbler - 2021</v>
      </c>
      <c r="E61" s="59">
        <f>'Regnskab og budget'!J87-'Regnskab og budget'!D87</f>
        <v>0</v>
      </c>
      <c r="F61">
        <v>1</v>
      </c>
      <c r="G61" s="171"/>
      <c r="H61" s="64">
        <v>0</v>
      </c>
    </row>
    <row r="62" spans="1:8" s="114" customFormat="1" ht="15" x14ac:dyDescent="0.3">
      <c r="A62" s="83">
        <f>Saldobalance!A98</f>
        <v>2235</v>
      </c>
      <c r="B62" s="58">
        <f>'Regnskab og budget'!$F$2</f>
        <v>45292</v>
      </c>
      <c r="C62" s="58">
        <f>'Regnskab og budget'!$H$2</f>
        <v>45657</v>
      </c>
      <c r="D62" s="20" t="str">
        <f>'Regnskab og budget'!A86</f>
        <v>Vaskemaskiner, 2011</v>
      </c>
      <c r="E62" s="59">
        <f>'Regnskab og budget'!J86-'Regnskab og budget'!D86</f>
        <v>-7855</v>
      </c>
      <c r="F62">
        <v>1</v>
      </c>
      <c r="G62" s="171"/>
      <c r="H62" s="64">
        <v>0</v>
      </c>
    </row>
    <row r="63" spans="1:8" s="125" customFormat="1" ht="15" x14ac:dyDescent="0.3">
      <c r="A63" s="83">
        <f>Saldobalance!A99</f>
        <v>2236</v>
      </c>
      <c r="B63" s="58">
        <f>'Regnskab og budget'!$F$2</f>
        <v>45292</v>
      </c>
      <c r="C63" s="58">
        <f>'Regnskab og budget'!$H$2</f>
        <v>45657</v>
      </c>
      <c r="D63" s="20" t="str">
        <f>'Regnskab og budget'!A88</f>
        <v>Kompressorer, 2018</v>
      </c>
      <c r="E63" s="59">
        <f>'Regnskab og budget'!J88-'Regnskab og budget'!D88</f>
        <v>0</v>
      </c>
      <c r="F63" s="114">
        <v>1</v>
      </c>
      <c r="G63" s="171"/>
      <c r="H63" s="64">
        <v>0</v>
      </c>
    </row>
    <row r="64" spans="1:8" s="114" customFormat="1" ht="15" x14ac:dyDescent="0.3">
      <c r="A64" s="83">
        <f>Saldobalance!A100</f>
        <v>2237</v>
      </c>
      <c r="B64" s="58">
        <f>'Regnskab og budget'!$F$2</f>
        <v>45292</v>
      </c>
      <c r="C64" s="58">
        <f>'Regnskab og budget'!$H$2</f>
        <v>45657</v>
      </c>
      <c r="D64" s="20" t="s">
        <v>287</v>
      </c>
      <c r="E64" s="59">
        <v>0</v>
      </c>
      <c r="F64" s="125">
        <v>1</v>
      </c>
      <c r="G64" s="171"/>
      <c r="H64" s="64">
        <v>0</v>
      </c>
    </row>
    <row r="65" spans="1:8" s="114" customFormat="1" ht="15" x14ac:dyDescent="0.3">
      <c r="A65" s="83">
        <f>Saldobalance!A104</f>
        <v>2241</v>
      </c>
      <c r="B65" s="58">
        <f>'Regnskab og budget'!$F$2</f>
        <v>45292</v>
      </c>
      <c r="C65" s="58">
        <f>'Regnskab og budget'!$H$2</f>
        <v>45657</v>
      </c>
      <c r="D65" s="20" t="str">
        <f>'Regnskab og budget'!A93</f>
        <v>Opsparing til 5-årsplanen</v>
      </c>
      <c r="E65" s="59">
        <f>'Regnskab og budget'!J93-'Regnskab og budget'!D93</f>
        <v>0</v>
      </c>
      <c r="F65" s="114">
        <v>1</v>
      </c>
      <c r="G65" s="171"/>
      <c r="H65" s="64">
        <v>0</v>
      </c>
    </row>
    <row r="66" spans="1:8" ht="15" x14ac:dyDescent="0.3">
      <c r="A66" s="83">
        <f>Saldobalance!A105</f>
        <v>2248</v>
      </c>
      <c r="B66" s="58">
        <f>'Regnskab og budget'!$F$2</f>
        <v>45292</v>
      </c>
      <c r="C66" s="58">
        <f>'Regnskab og budget'!$H$2</f>
        <v>45657</v>
      </c>
      <c r="D66" s="20" t="str">
        <f>'Regnskab og budget'!A94</f>
        <v>Opsparing i øvrigt</v>
      </c>
      <c r="E66" s="59">
        <f>'Regnskab og budget'!J94-'Regnskab og budget'!D94</f>
        <v>0</v>
      </c>
      <c r="F66" s="146">
        <v>1</v>
      </c>
      <c r="G66" s="171"/>
      <c r="H66" s="64">
        <v>0</v>
      </c>
    </row>
    <row r="67" spans="1:8" s="111" customFormat="1" ht="15" x14ac:dyDescent="0.3">
      <c r="A67" s="83">
        <f>Saldobalance!A109</f>
        <v>2251</v>
      </c>
      <c r="B67" s="58">
        <f>'Regnskab og budget'!$F$2</f>
        <v>45292</v>
      </c>
      <c r="C67" s="58">
        <f>'Regnskab og budget'!$H$2</f>
        <v>45657</v>
      </c>
      <c r="D67" s="20" t="str">
        <f>'Regnskab og budget'!A97</f>
        <v>Nordea renteudgift</v>
      </c>
      <c r="E67" s="59">
        <f>'Regnskab og budget'!J97-'Regnskab og budget'!D97</f>
        <v>0</v>
      </c>
      <c r="F67">
        <v>1</v>
      </c>
      <c r="G67" s="171"/>
      <c r="H67" s="64">
        <v>0</v>
      </c>
    </row>
    <row r="68" spans="1:8" ht="15" x14ac:dyDescent="0.3">
      <c r="A68" s="83">
        <f>Saldobalance!A110</f>
        <v>2252</v>
      </c>
      <c r="B68" s="58">
        <f>'Regnskab og budget'!$F$2</f>
        <v>45292</v>
      </c>
      <c r="C68" s="58">
        <f>'Regnskab og budget'!$H$2</f>
        <v>45657</v>
      </c>
      <c r="D68" s="20" t="e">
        <f>'Regnskab og budget'!#REF!</f>
        <v>#REF!</v>
      </c>
      <c r="E68" s="59">
        <v>0</v>
      </c>
      <c r="F68" s="146">
        <v>1</v>
      </c>
      <c r="G68" s="171"/>
      <c r="H68" s="64">
        <v>0</v>
      </c>
    </row>
    <row r="69" spans="1:8" ht="15" x14ac:dyDescent="0.3">
      <c r="A69" s="83">
        <f>Saldobalance!A111</f>
        <v>2255</v>
      </c>
      <c r="B69" s="58">
        <v>42005</v>
      </c>
      <c r="C69" s="58">
        <v>42369</v>
      </c>
      <c r="D69" s="20" t="e">
        <f>'Regnskab og budget'!#REF!</f>
        <v>#REF!</v>
      </c>
      <c r="E69" s="59">
        <v>0</v>
      </c>
      <c r="F69" s="146">
        <v>1</v>
      </c>
      <c r="G69" s="171"/>
      <c r="H69" s="64">
        <v>0</v>
      </c>
    </row>
    <row r="70" spans="1:8" ht="15" x14ac:dyDescent="0.3">
      <c r="A70" s="83">
        <f>Saldobalance!A112</f>
        <v>2256</v>
      </c>
      <c r="B70" s="58">
        <v>42005</v>
      </c>
      <c r="C70" s="58">
        <v>42369</v>
      </c>
      <c r="D70" s="20" t="e">
        <f>'Regnskab og budget'!#REF!</f>
        <v>#REF!</v>
      </c>
      <c r="E70" s="59">
        <v>0</v>
      </c>
      <c r="F70" s="146">
        <v>1</v>
      </c>
      <c r="G70" s="171"/>
      <c r="H70" s="64">
        <v>0</v>
      </c>
    </row>
    <row r="71" spans="1:8" ht="15" x14ac:dyDescent="0.3">
      <c r="A71" s="83">
        <f>Saldobalance!A113</f>
        <v>2258</v>
      </c>
      <c r="B71" s="58">
        <f>'Regnskab og budget'!$F$2</f>
        <v>45292</v>
      </c>
      <c r="C71" s="58">
        <f>'Regnskab og budget'!$H$2</f>
        <v>45657</v>
      </c>
      <c r="D71" s="20" t="str">
        <f>'Regnskab og budget'!A98</f>
        <v>Andre renter og gebyrer</v>
      </c>
      <c r="E71" s="59">
        <f>'Regnskab og budget'!J98-'Regnskab og budget'!D98</f>
        <v>0</v>
      </c>
      <c r="F71">
        <v>1</v>
      </c>
      <c r="G71" s="171"/>
      <c r="H71" s="64">
        <v>0</v>
      </c>
    </row>
    <row r="72" spans="1:8" ht="15" x14ac:dyDescent="0.3">
      <c r="A72" s="83">
        <f>Saldobalance!A117</f>
        <v>2261</v>
      </c>
      <c r="B72" s="58">
        <f>'Regnskab og budget'!$F$2</f>
        <v>45292</v>
      </c>
      <c r="C72" s="58">
        <f>'Regnskab og budget'!$H$2</f>
        <v>45657</v>
      </c>
      <c r="D72" s="20" t="str">
        <f>'Regnskab og budget'!A101</f>
        <v>Renovation</v>
      </c>
      <c r="E72" s="59">
        <f>'Regnskab og budget'!J101-'Regnskab og budget'!D101</f>
        <v>2066.4299999999998</v>
      </c>
      <c r="F72">
        <v>1</v>
      </c>
      <c r="G72" s="171"/>
      <c r="H72" s="64">
        <v>0</v>
      </c>
    </row>
    <row r="73" spans="1:8" ht="15" x14ac:dyDescent="0.3">
      <c r="A73" s="83">
        <f>Saldobalance!A118</f>
        <v>2262</v>
      </c>
      <c r="B73" s="58">
        <f>'Regnskab og budget'!$F$2</f>
        <v>45292</v>
      </c>
      <c r="C73" s="58">
        <f>'Regnskab og budget'!$H$2</f>
        <v>45657</v>
      </c>
      <c r="D73" s="20" t="str">
        <f>'Regnskab og budget'!A102</f>
        <v>EL</v>
      </c>
      <c r="E73" s="59">
        <f>'Regnskab og budget'!J102-'Regnskab og budget'!D102</f>
        <v>-15000</v>
      </c>
      <c r="F73">
        <v>1</v>
      </c>
      <c r="G73" s="171"/>
      <c r="H73" s="64">
        <v>0</v>
      </c>
    </row>
    <row r="74" spans="1:8" s="114" customFormat="1" ht="15" x14ac:dyDescent="0.3">
      <c r="A74" s="83">
        <f>Saldobalance!A119</f>
        <v>2263</v>
      </c>
      <c r="B74" s="58">
        <f>'Regnskab og budget'!$F$2</f>
        <v>45292</v>
      </c>
      <c r="C74" s="58">
        <f>'Regnskab og budget'!$H$2</f>
        <v>45657</v>
      </c>
      <c r="D74" s="20" t="str">
        <f>'Regnskab og budget'!A103</f>
        <v>Varme</v>
      </c>
      <c r="E74" s="59">
        <f>'Regnskab og budget'!J103-'Regnskab og budget'!D103</f>
        <v>-8262.8888888888869</v>
      </c>
      <c r="F74">
        <v>1</v>
      </c>
      <c r="G74" s="171"/>
      <c r="H74" s="64">
        <v>0</v>
      </c>
    </row>
    <row r="75" spans="1:8" ht="15" x14ac:dyDescent="0.3">
      <c r="A75" s="83">
        <f>Saldobalance!A120</f>
        <v>2264</v>
      </c>
      <c r="B75" s="58">
        <f>'Regnskab og budget'!$F$2</f>
        <v>45292</v>
      </c>
      <c r="C75" s="58">
        <f>'Regnskab og budget'!$H$2</f>
        <v>45657</v>
      </c>
      <c r="D75" s="20" t="str">
        <f>'Regnskab og budget'!A104</f>
        <v>Vand</v>
      </c>
      <c r="E75" s="59">
        <f>'Regnskab og budget'!J104-'Regnskab og budget'!D104</f>
        <v>-2633.4113939274575</v>
      </c>
      <c r="F75">
        <v>1</v>
      </c>
      <c r="G75" s="171"/>
      <c r="H75" s="64">
        <v>0</v>
      </c>
    </row>
    <row r="76" spans="1:8" ht="15" x14ac:dyDescent="0.3">
      <c r="A76" s="83">
        <f>Saldobalance!A121</f>
        <v>2265</v>
      </c>
      <c r="B76" s="58">
        <f>'Regnskab og budget'!$F$2</f>
        <v>45292</v>
      </c>
      <c r="C76" s="58">
        <f>'Regnskab og budget'!$H$2</f>
        <v>45657</v>
      </c>
      <c r="D76" s="20" t="str">
        <f>'Regnskab og budget'!A105</f>
        <v>Vask</v>
      </c>
      <c r="E76" s="59">
        <f>'Regnskab og budget'!J105-'Regnskab og budget'!D105</f>
        <v>500</v>
      </c>
      <c r="F76">
        <v>1</v>
      </c>
      <c r="G76" s="171"/>
      <c r="H76" s="64">
        <v>0</v>
      </c>
    </row>
    <row r="77" spans="1:8" ht="15" x14ac:dyDescent="0.3">
      <c r="A77" s="83">
        <f>Saldobalance!A122</f>
        <v>2266</v>
      </c>
      <c r="B77" s="58">
        <f>'Regnskab og budget'!$F$2</f>
        <v>45292</v>
      </c>
      <c r="C77" s="58">
        <f>'Regnskab og budget'!$H$2</f>
        <v>45657</v>
      </c>
      <c r="D77" s="20" t="str">
        <f>'Regnskab og budget'!A106</f>
        <v>Gas køkken</v>
      </c>
      <c r="E77" s="59">
        <f>'Regnskab og budget'!J106-'Regnskab og budget'!D106</f>
        <v>1323</v>
      </c>
      <c r="F77" s="114">
        <v>1</v>
      </c>
      <c r="G77" s="171"/>
      <c r="H77" s="64">
        <v>0</v>
      </c>
    </row>
    <row r="78" spans="1:8" ht="15" x14ac:dyDescent="0.3">
      <c r="A78" s="83">
        <f>Saldobalance!A126</f>
        <v>2271</v>
      </c>
      <c r="B78" s="58">
        <f>'Regnskab og budget'!$F$2</f>
        <v>45292</v>
      </c>
      <c r="C78" s="58">
        <f>'Regnskab og budget'!$H$2</f>
        <v>45657</v>
      </c>
      <c r="D78" s="20" t="str">
        <f>'Regnskab og budget'!A109</f>
        <v>Drift af bestyrelsen</v>
      </c>
      <c r="E78" s="59">
        <f>'Regnskab og budget'!J109-'Regnskab og budget'!D109</f>
        <v>0</v>
      </c>
      <c r="F78">
        <v>1</v>
      </c>
      <c r="G78" s="171"/>
      <c r="H78" s="64">
        <v>0</v>
      </c>
    </row>
    <row r="79" spans="1:8" ht="15" x14ac:dyDescent="0.3">
      <c r="A79" s="83">
        <f>Saldobalance!A127</f>
        <v>2272</v>
      </c>
      <c r="B79" s="58">
        <f>'Regnskab og budget'!$F$2</f>
        <v>45292</v>
      </c>
      <c r="C79" s="58">
        <f>'Regnskab og budget'!$H$2</f>
        <v>45657</v>
      </c>
      <c r="D79" s="20" t="str">
        <f>'Regnskab og budget'!A110</f>
        <v>Kontorartikler og Porto</v>
      </c>
      <c r="E79" s="59">
        <f>'Regnskab og budget'!J110-'Regnskab og budget'!D110</f>
        <v>0</v>
      </c>
      <c r="F79">
        <v>1</v>
      </c>
      <c r="G79" s="171"/>
      <c r="H79" s="64">
        <v>0</v>
      </c>
    </row>
    <row r="80" spans="1:8" ht="15" x14ac:dyDescent="0.3">
      <c r="A80" s="83">
        <f>Saldobalance!A128</f>
        <v>2273</v>
      </c>
      <c r="B80" s="58">
        <f>'Regnskab og budget'!$F$2</f>
        <v>45292</v>
      </c>
      <c r="C80" s="58">
        <f>'Regnskab og budget'!$H$2</f>
        <v>45657</v>
      </c>
      <c r="D80" s="20" t="str">
        <f>'Regnskab og budget'!A111</f>
        <v>Økonomisystem</v>
      </c>
      <c r="E80" s="59">
        <f>'Regnskab og budget'!J111-'Regnskab og budget'!D111</f>
        <v>4216</v>
      </c>
      <c r="F80">
        <v>1</v>
      </c>
      <c r="G80" s="171"/>
      <c r="H80" s="64">
        <v>0</v>
      </c>
    </row>
    <row r="81" spans="1:8" ht="15" x14ac:dyDescent="0.3">
      <c r="A81" s="83">
        <f>Saldobalance!A132</f>
        <v>2282</v>
      </c>
      <c r="B81" s="58">
        <f>'Regnskab og budget'!$F$2</f>
        <v>45292</v>
      </c>
      <c r="C81" s="58">
        <f>'Regnskab og budget'!$H$2</f>
        <v>45657</v>
      </c>
      <c r="D81" s="20" t="str">
        <f>'Regnskab og budget'!A114</f>
        <v>GEF-regnskab</v>
      </c>
      <c r="E81" s="59">
        <f>'Regnskab og budget'!J114-'Regnskab og budget'!D114</f>
        <v>1250</v>
      </c>
      <c r="F81">
        <v>1</v>
      </c>
      <c r="G81" s="171"/>
      <c r="H81" s="64">
        <v>0</v>
      </c>
    </row>
    <row r="82" spans="1:8" ht="15" x14ac:dyDescent="0.3">
      <c r="A82" s="83">
        <f>Saldobalance!A133</f>
        <v>2284</v>
      </c>
      <c r="B82" s="58">
        <f>'Regnskab og budget'!$F$2</f>
        <v>45292</v>
      </c>
      <c r="C82" s="58">
        <f>'Regnskab og budget'!$H$2</f>
        <v>45657</v>
      </c>
      <c r="D82" s="20" t="str">
        <f>'Regnskab og budget'!A115</f>
        <v>IS-regnskab</v>
      </c>
      <c r="E82" s="59">
        <f>'Regnskab og budget'!J115-'Regnskab og budget'!D115</f>
        <v>0</v>
      </c>
      <c r="F82">
        <v>1</v>
      </c>
      <c r="G82" s="171"/>
      <c r="H82" s="64">
        <v>0</v>
      </c>
    </row>
    <row r="83" spans="1:8" ht="15" x14ac:dyDescent="0.3">
      <c r="A83" s="83">
        <f>Saldobalance!A137</f>
        <v>2292</v>
      </c>
      <c r="B83" s="58">
        <f>'Regnskab og budget'!$F$2</f>
        <v>45292</v>
      </c>
      <c r="C83" s="58">
        <f>'Regnskab og budget'!$H$2</f>
        <v>45657</v>
      </c>
      <c r="D83" s="20" t="str">
        <f>'Regnskab og budget'!A118</f>
        <v>Tab på Bofæller</v>
      </c>
      <c r="E83" s="59">
        <f>'Regnskab og budget'!J118-'Regnskab og budget'!D118</f>
        <v>0</v>
      </c>
      <c r="F83">
        <v>1</v>
      </c>
      <c r="G83" s="171"/>
      <c r="H83" s="64">
        <v>0</v>
      </c>
    </row>
    <row r="84" spans="1:8" ht="15" x14ac:dyDescent="0.3">
      <c r="A84" s="83">
        <f>Saldobalance!A138</f>
        <v>2293</v>
      </c>
      <c r="B84" s="58">
        <f>'Regnskab og budget'!$F$2</f>
        <v>45292</v>
      </c>
      <c r="C84" s="58">
        <f>'Regnskab og budget'!$H$2</f>
        <v>45657</v>
      </c>
      <c r="D84" s="20" t="str">
        <f>'Regnskab og budget'!A119</f>
        <v>Øredifferencer</v>
      </c>
      <c r="E84" s="59">
        <f>'Regnskab og budget'!J119-'Regnskab og budget'!D119</f>
        <v>0</v>
      </c>
      <c r="F84">
        <v>1</v>
      </c>
      <c r="G84" s="171"/>
      <c r="H84" s="64">
        <v>0</v>
      </c>
    </row>
    <row r="85" spans="1:8" ht="15" x14ac:dyDescent="0.3">
      <c r="A85" s="83">
        <f>Saldobalance!A140</f>
        <v>2295</v>
      </c>
      <c r="B85" s="58">
        <f>'Regnskab og budget'!$F$2</f>
        <v>45292</v>
      </c>
      <c r="C85" s="58">
        <f>'Regnskab og budget'!$H$2</f>
        <v>45657</v>
      </c>
      <c r="D85" s="20" t="str">
        <f>'Regnskab og budget'!A120</f>
        <v>Diverse omkostninger</v>
      </c>
      <c r="E85" s="59">
        <f>'Regnskab og budget'!J120-'Regnskab og budget'!D120</f>
        <v>0</v>
      </c>
      <c r="F85">
        <v>1</v>
      </c>
      <c r="G85" s="171"/>
      <c r="H85" s="64">
        <v>0</v>
      </c>
    </row>
  </sheetData>
  <protectedRanges>
    <protectedRange sqref="H2:H85" name="Område1"/>
  </protectedRange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2"/>
  <sheetViews>
    <sheetView topLeftCell="A19" zoomScaleNormal="100" workbookViewId="0">
      <selection activeCell="I62" sqref="I62"/>
    </sheetView>
  </sheetViews>
  <sheetFormatPr defaultColWidth="8.85546875" defaultRowHeight="12.75" x14ac:dyDescent="0.2"/>
  <cols>
    <col min="1" max="1" width="8.140625" bestFit="1" customWidth="1"/>
    <col min="2" max="2" width="38.42578125" customWidth="1"/>
    <col min="3" max="3" width="10.42578125" bestFit="1" customWidth="1"/>
    <col min="4" max="4" width="20.140625" bestFit="1" customWidth="1"/>
    <col min="5" max="5" width="11" bestFit="1" customWidth="1"/>
    <col min="6" max="6" width="11.85546875" bestFit="1" customWidth="1"/>
    <col min="7" max="7" width="10.28515625" bestFit="1" customWidth="1"/>
    <col min="8" max="8" width="16.42578125" bestFit="1" customWidth="1"/>
    <col min="9" max="9" width="8.42578125" bestFit="1" customWidth="1"/>
    <col min="10" max="10" width="15.28515625" bestFit="1" customWidth="1"/>
    <col min="11" max="12" width="6.42578125" bestFit="1" customWidth="1"/>
    <col min="13" max="13" width="16.42578125" bestFit="1" customWidth="1"/>
  </cols>
  <sheetData>
    <row r="1" spans="1:13" ht="15" x14ac:dyDescent="0.25">
      <c r="A1" s="55" t="s">
        <v>16</v>
      </c>
      <c r="B1" s="55" t="s">
        <v>74</v>
      </c>
      <c r="C1" s="55" t="s">
        <v>21</v>
      </c>
      <c r="D1" s="55" t="s">
        <v>75</v>
      </c>
      <c r="E1" s="55" t="s">
        <v>76</v>
      </c>
      <c r="F1" s="55" t="s">
        <v>22</v>
      </c>
      <c r="G1" s="55" t="s">
        <v>77</v>
      </c>
      <c r="H1" s="55" t="s">
        <v>78</v>
      </c>
      <c r="I1" s="55" t="s">
        <v>79</v>
      </c>
      <c r="J1" s="55" t="s">
        <v>80</v>
      </c>
      <c r="K1" s="55" t="s">
        <v>81</v>
      </c>
      <c r="L1" s="55" t="s">
        <v>82</v>
      </c>
      <c r="M1" s="55" t="s">
        <v>83</v>
      </c>
    </row>
    <row r="2" spans="1:13" ht="15" x14ac:dyDescent="0.3">
      <c r="A2" s="70">
        <v>1000</v>
      </c>
      <c r="B2" s="71" t="s">
        <v>84</v>
      </c>
      <c r="C2">
        <v>5</v>
      </c>
    </row>
    <row r="3" spans="1:13" ht="15" x14ac:dyDescent="0.3">
      <c r="A3" s="70">
        <v>1001</v>
      </c>
      <c r="B3" s="72"/>
      <c r="C3">
        <v>4</v>
      </c>
    </row>
    <row r="4" spans="1:13" ht="15" x14ac:dyDescent="0.3">
      <c r="A4" s="72">
        <f>Saldobalance!A9</f>
        <v>1010</v>
      </c>
      <c r="B4" s="72" t="str">
        <f>Saldobalance!B9</f>
        <v>GEF</v>
      </c>
      <c r="C4">
        <v>1</v>
      </c>
      <c r="F4" t="s">
        <v>24</v>
      </c>
    </row>
    <row r="5" spans="1:13" ht="15" x14ac:dyDescent="0.3">
      <c r="A5" s="72">
        <f>Saldobalance!A10</f>
        <v>1020</v>
      </c>
      <c r="B5" s="72" t="str">
        <f>Saldobalance!B10</f>
        <v>Ikke i brug</v>
      </c>
      <c r="C5">
        <v>1</v>
      </c>
      <c r="F5" t="s">
        <v>24</v>
      </c>
    </row>
    <row r="6" spans="1:13" ht="15" x14ac:dyDescent="0.3">
      <c r="A6" s="72">
        <f>Saldobalance!A11</f>
        <v>1030</v>
      </c>
      <c r="B6" s="72" t="str">
        <f>Saldobalance!B11</f>
        <v xml:space="preserve">Rykkergebyr </v>
      </c>
      <c r="C6">
        <v>1</v>
      </c>
      <c r="F6" t="s">
        <v>24</v>
      </c>
    </row>
    <row r="7" spans="1:13" ht="15" x14ac:dyDescent="0.3">
      <c r="A7" s="72">
        <f>Saldobalance!A12</f>
        <v>1040</v>
      </c>
      <c r="B7" s="72" t="str">
        <f>Saldobalance!B12</f>
        <v>Andre indtægter</v>
      </c>
      <c r="C7">
        <v>1</v>
      </c>
      <c r="F7" t="s">
        <v>24</v>
      </c>
    </row>
    <row r="8" spans="1:13" ht="15" x14ac:dyDescent="0.3">
      <c r="A8" s="70">
        <v>1099</v>
      </c>
      <c r="B8" s="72" t="str">
        <f>Saldobalance!B13</f>
        <v>Fællesindtægter i alt</v>
      </c>
      <c r="C8">
        <v>6</v>
      </c>
      <c r="D8">
        <v>1000</v>
      </c>
    </row>
    <row r="9" spans="1:13" ht="15" x14ac:dyDescent="0.3">
      <c r="A9" s="70">
        <v>1300</v>
      </c>
      <c r="B9" s="72" t="str">
        <f>Saldobalance!B15</f>
        <v>Variable omkostninger</v>
      </c>
      <c r="C9">
        <v>4</v>
      </c>
      <c r="F9" t="s">
        <v>86</v>
      </c>
    </row>
    <row r="10" spans="1:13" ht="15" x14ac:dyDescent="0.3">
      <c r="A10" s="70">
        <v>1310</v>
      </c>
      <c r="B10" s="72" t="str">
        <f>Saldobalance!B17</f>
        <v>Rep og vedligehold</v>
      </c>
      <c r="C10">
        <v>4</v>
      </c>
      <c r="F10" t="s">
        <v>86</v>
      </c>
    </row>
    <row r="11" spans="1:13" ht="15" x14ac:dyDescent="0.3">
      <c r="A11" s="72">
        <f>Saldobalance!A18</f>
        <v>1311</v>
      </c>
      <c r="B11" s="72" t="str">
        <f>Saldobalance!B18</f>
        <v>Rep maskiner og anlæg</v>
      </c>
      <c r="C11">
        <v>1</v>
      </c>
      <c r="F11" t="s">
        <v>86</v>
      </c>
    </row>
    <row r="12" spans="1:13" ht="15" x14ac:dyDescent="0.3">
      <c r="A12" s="72">
        <f>Saldobalance!A19</f>
        <v>1312</v>
      </c>
      <c r="B12" s="72" t="str">
        <f>Saldobalance!B19</f>
        <v>Rep og service af jordvarme</v>
      </c>
      <c r="C12">
        <v>1</v>
      </c>
      <c r="F12" t="s">
        <v>86</v>
      </c>
    </row>
    <row r="13" spans="1:13" ht="15" x14ac:dyDescent="0.3">
      <c r="A13" s="72">
        <f>Saldobalance!A20</f>
        <v>1313</v>
      </c>
      <c r="B13" s="72" t="str">
        <f>Saldobalance!B20</f>
        <v>Rep. vaskeriet</v>
      </c>
      <c r="C13">
        <v>1</v>
      </c>
      <c r="F13" t="s">
        <v>86</v>
      </c>
    </row>
    <row r="14" spans="1:13" ht="15" x14ac:dyDescent="0.3">
      <c r="A14" s="72">
        <f>Saldobalance!A21</f>
        <v>1314</v>
      </c>
      <c r="B14" s="72" t="str">
        <f>Saldobalance!B21</f>
        <v>Indv. vedl. FÆ-hus</v>
      </c>
      <c r="C14">
        <v>1</v>
      </c>
      <c r="F14" t="s">
        <v>86</v>
      </c>
    </row>
    <row r="15" spans="1:13" ht="15" x14ac:dyDescent="0.3">
      <c r="A15" s="72">
        <f>Saldobalance!A22</f>
        <v>1315</v>
      </c>
      <c r="B15" s="72" t="str">
        <f>Saldobalance!B22</f>
        <v>Udv. vedl. FÆ-hus</v>
      </c>
      <c r="C15">
        <v>1</v>
      </c>
      <c r="F15" t="s">
        <v>86</v>
      </c>
    </row>
    <row r="16" spans="1:13" ht="15" x14ac:dyDescent="0.3">
      <c r="A16" s="72">
        <f>Saldobalance!A23</f>
        <v>1316</v>
      </c>
      <c r="B16" s="72" t="str">
        <f>Saldobalance!B23</f>
        <v>Vedl. fællesarealer</v>
      </c>
      <c r="C16">
        <v>1</v>
      </c>
      <c r="F16" t="s">
        <v>86</v>
      </c>
    </row>
    <row r="17" spans="1:6" ht="15" x14ac:dyDescent="0.3">
      <c r="A17" s="72">
        <f>Saldobalance!A24</f>
        <v>1317</v>
      </c>
      <c r="B17" s="72" t="str">
        <f>Saldobalance!B24</f>
        <v>Vedl. fællesvej</v>
      </c>
      <c r="C17">
        <v>1</v>
      </c>
    </row>
    <row r="18" spans="1:6" ht="15" x14ac:dyDescent="0.3">
      <c r="A18" s="70">
        <v>1319</v>
      </c>
      <c r="B18" s="72" t="str">
        <f>Saldobalance!B25</f>
        <v>Rep og vedligehold i alt</v>
      </c>
      <c r="C18">
        <v>3</v>
      </c>
      <c r="D18">
        <v>1310</v>
      </c>
      <c r="F18" t="s">
        <v>86</v>
      </c>
    </row>
    <row r="19" spans="1:6" ht="15" x14ac:dyDescent="0.3">
      <c r="A19" s="70">
        <v>1320</v>
      </c>
      <c r="B19" s="72" t="str">
        <f>Saldobalance!B27</f>
        <v>Drift Fælleshus mv.</v>
      </c>
      <c r="C19">
        <v>4</v>
      </c>
      <c r="F19" t="s">
        <v>86</v>
      </c>
    </row>
    <row r="20" spans="1:6" ht="15" x14ac:dyDescent="0.3">
      <c r="A20" s="72">
        <f>Saldobalance!A28</f>
        <v>1321</v>
      </c>
      <c r="B20" s="72" t="str">
        <f>Saldobalance!B28</f>
        <v>Inventar</v>
      </c>
      <c r="C20">
        <v>1</v>
      </c>
      <c r="F20" t="s">
        <v>86</v>
      </c>
    </row>
    <row r="21" spans="1:6" ht="15" x14ac:dyDescent="0.3">
      <c r="A21" s="72">
        <f>Saldobalance!A29</f>
        <v>1322</v>
      </c>
      <c r="B21" s="72" t="str">
        <f>Saldobalance!B29</f>
        <v>Køkkenudstyr</v>
      </c>
      <c r="C21">
        <v>1</v>
      </c>
      <c r="F21" t="s">
        <v>86</v>
      </c>
    </row>
    <row r="22" spans="1:6" ht="15" x14ac:dyDescent="0.3">
      <c r="A22" s="72">
        <f>Saldobalance!A30</f>
        <v>1323</v>
      </c>
      <c r="B22" s="72" t="str">
        <f>Saldobalance!B30</f>
        <v>EL-artik, pærer mv</v>
      </c>
      <c r="C22">
        <v>1</v>
      </c>
      <c r="F22" t="s">
        <v>86</v>
      </c>
    </row>
    <row r="23" spans="1:6" ht="15" x14ac:dyDescent="0.3">
      <c r="A23" s="72">
        <f>Saldobalance!A31</f>
        <v>1324</v>
      </c>
      <c r="B23" s="72" t="str">
        <f>Saldobalance!B31</f>
        <v>Rengøringsmidler/-artikler, papir</v>
      </c>
      <c r="C23">
        <v>1</v>
      </c>
      <c r="F23" t="s">
        <v>86</v>
      </c>
    </row>
    <row r="24" spans="1:6" ht="15" x14ac:dyDescent="0.3">
      <c r="A24" s="72">
        <f>Saldobalance!A32</f>
        <v>1325</v>
      </c>
      <c r="B24" s="72" t="str">
        <f>Saldobalance!B32</f>
        <v>Lys, blomster</v>
      </c>
      <c r="C24">
        <v>1</v>
      </c>
      <c r="F24" t="s">
        <v>86</v>
      </c>
    </row>
    <row r="25" spans="1:6" ht="15" x14ac:dyDescent="0.3">
      <c r="A25" s="72">
        <f>Saldobalance!A33</f>
        <v>1326</v>
      </c>
      <c r="B25" s="72" t="str">
        <f>Saldobalance!B33</f>
        <v>Krydderier</v>
      </c>
      <c r="C25">
        <v>1</v>
      </c>
      <c r="F25" t="s">
        <v>86</v>
      </c>
    </row>
    <row r="26" spans="1:6" ht="15" x14ac:dyDescent="0.3">
      <c r="A26" s="72">
        <f>Saldobalance!A34</f>
        <v>1327</v>
      </c>
      <c r="B26" s="72" t="str">
        <f>Saldobalance!B34</f>
        <v>Diverse Fælleshus</v>
      </c>
      <c r="C26">
        <v>1</v>
      </c>
      <c r="F26" t="s">
        <v>86</v>
      </c>
    </row>
    <row r="27" spans="1:6" s="148" customFormat="1" ht="15" x14ac:dyDescent="0.3">
      <c r="A27" s="72">
        <f>Saldobalance!A35</f>
        <v>1328</v>
      </c>
      <c r="B27" s="72" t="str">
        <f>Saldobalance!B35</f>
        <v>Ikke i brug</v>
      </c>
      <c r="C27" s="148">
        <v>1</v>
      </c>
      <c r="F27" s="148" t="s">
        <v>86</v>
      </c>
    </row>
    <row r="28" spans="1:6" ht="15" x14ac:dyDescent="0.3">
      <c r="A28" s="70">
        <v>1329</v>
      </c>
      <c r="B28" s="72" t="str">
        <f>Saldobalance!B36</f>
        <v>Drift Fælleshus mv. i alt</v>
      </c>
      <c r="C28">
        <v>3</v>
      </c>
      <c r="D28">
        <v>1320</v>
      </c>
      <c r="F28" t="s">
        <v>86</v>
      </c>
    </row>
    <row r="29" spans="1:6" ht="15" x14ac:dyDescent="0.3">
      <c r="A29" s="70">
        <v>1330</v>
      </c>
      <c r="B29" s="72" t="str">
        <f>Saldobalance!B38</f>
        <v>Arrang/kultur/gaver</v>
      </c>
      <c r="C29">
        <v>4</v>
      </c>
      <c r="F29" t="s">
        <v>86</v>
      </c>
    </row>
    <row r="30" spans="1:6" ht="15" x14ac:dyDescent="0.3">
      <c r="A30" s="72">
        <f>Saldobalance!A39</f>
        <v>1331</v>
      </c>
      <c r="B30" s="72" t="str">
        <f>Saldobalance!B39</f>
        <v>Gaver</v>
      </c>
      <c r="C30">
        <v>1</v>
      </c>
      <c r="F30" t="s">
        <v>86</v>
      </c>
    </row>
    <row r="31" spans="1:6" ht="15" x14ac:dyDescent="0.3">
      <c r="A31" s="72">
        <f>Saldobalance!A40</f>
        <v>1332</v>
      </c>
      <c r="B31" s="72" t="str">
        <f>Saldobalance!B40</f>
        <v>Fester/kultur</v>
      </c>
      <c r="C31">
        <v>1</v>
      </c>
      <c r="F31" t="s">
        <v>86</v>
      </c>
    </row>
    <row r="32" spans="1:6" ht="15" x14ac:dyDescent="0.3">
      <c r="A32" s="72">
        <f>Saldobalance!A41</f>
        <v>1333</v>
      </c>
      <c r="B32" s="72" t="str">
        <f>Saldobalance!B41</f>
        <v>Fortæring arbejdsweekends</v>
      </c>
      <c r="C32">
        <v>1</v>
      </c>
      <c r="F32" t="s">
        <v>86</v>
      </c>
    </row>
    <row r="33" spans="1:6" ht="15" x14ac:dyDescent="0.3">
      <c r="A33" s="72">
        <f>Saldobalance!A42</f>
        <v>1334</v>
      </c>
      <c r="B33" s="72" t="str">
        <f>Saldobalance!B42</f>
        <v>Fortæring generalforsamling</v>
      </c>
      <c r="C33">
        <v>1</v>
      </c>
      <c r="F33" t="s">
        <v>86</v>
      </c>
    </row>
    <row r="34" spans="1:6" ht="15" x14ac:dyDescent="0.3">
      <c r="A34" s="72">
        <f>Saldobalance!A43</f>
        <v>1335</v>
      </c>
      <c r="B34" s="72" t="str">
        <f>Saldobalance!B43</f>
        <v>Adventsarrangementer</v>
      </c>
      <c r="C34">
        <v>1</v>
      </c>
      <c r="F34" t="s">
        <v>86</v>
      </c>
    </row>
    <row r="35" spans="1:6" ht="15" x14ac:dyDescent="0.3">
      <c r="A35" s="72">
        <f>Saldobalance!A44</f>
        <v>1336</v>
      </c>
      <c r="B35" s="72" t="str">
        <f>Saldobalance!B44</f>
        <v>Fastelavn</v>
      </c>
      <c r="C35">
        <v>1</v>
      </c>
      <c r="F35" t="s">
        <v>86</v>
      </c>
    </row>
    <row r="36" spans="1:6" ht="15" x14ac:dyDescent="0.3">
      <c r="A36" s="72">
        <f>Saldobalance!A45</f>
        <v>1337</v>
      </c>
      <c r="B36" s="72" t="str">
        <f>Saldobalance!B45</f>
        <v>Cafemøder og fællesmøder</v>
      </c>
      <c r="C36">
        <v>1</v>
      </c>
      <c r="F36" t="s">
        <v>86</v>
      </c>
    </row>
    <row r="37" spans="1:6" ht="15" x14ac:dyDescent="0.3">
      <c r="A37" s="72">
        <f>Saldobalance!A46</f>
        <v>1338</v>
      </c>
      <c r="B37" s="72" t="str">
        <f>Saldobalance!B46</f>
        <v>Bakkeweekend</v>
      </c>
      <c r="C37">
        <v>1</v>
      </c>
      <c r="F37" t="s">
        <v>86</v>
      </c>
    </row>
    <row r="38" spans="1:6" ht="15" x14ac:dyDescent="0.3">
      <c r="A38" s="72">
        <f>Saldobalance!A47</f>
        <v>1339</v>
      </c>
      <c r="B38" s="72" t="str">
        <f>Saldobalance!B47</f>
        <v>Skt. Hans</v>
      </c>
      <c r="C38">
        <v>1</v>
      </c>
      <c r="F38" t="s">
        <v>86</v>
      </c>
    </row>
    <row r="39" spans="1:6" ht="15" x14ac:dyDescent="0.3">
      <c r="A39" s="72">
        <f>Saldobalance!A48</f>
        <v>1340</v>
      </c>
      <c r="B39" s="72" t="str">
        <f>Saldobalance!B48</f>
        <v>Torvedag</v>
      </c>
      <c r="C39">
        <v>1</v>
      </c>
      <c r="F39" t="s">
        <v>86</v>
      </c>
    </row>
    <row r="40" spans="1:6" ht="15" x14ac:dyDescent="0.3">
      <c r="A40" s="70">
        <v>1349</v>
      </c>
      <c r="B40" s="72" t="str">
        <f>Saldobalance!B49</f>
        <v>Arr./kultur/gaver i alt</v>
      </c>
      <c r="C40">
        <v>3</v>
      </c>
      <c r="D40">
        <v>1330</v>
      </c>
      <c r="F40" t="s">
        <v>86</v>
      </c>
    </row>
    <row r="41" spans="1:6" ht="15" x14ac:dyDescent="0.3">
      <c r="A41" s="70">
        <v>1350</v>
      </c>
      <c r="B41" s="72" t="str">
        <f>Saldobalance!B51</f>
        <v>Informationsteknologi</v>
      </c>
      <c r="C41">
        <v>4</v>
      </c>
      <c r="F41" t="s">
        <v>86</v>
      </c>
    </row>
    <row r="42" spans="1:6" ht="15" x14ac:dyDescent="0.3">
      <c r="A42" s="72">
        <f>Saldobalance!A52</f>
        <v>1351</v>
      </c>
      <c r="B42" s="72" t="str">
        <f>Saldobalance!B52</f>
        <v>Telefon / bredbånd</v>
      </c>
      <c r="C42">
        <v>1</v>
      </c>
      <c r="F42" t="s">
        <v>86</v>
      </c>
    </row>
    <row r="43" spans="1:6" ht="15" x14ac:dyDescent="0.3">
      <c r="A43" s="72">
        <f>Saldobalance!A53</f>
        <v>1352</v>
      </c>
      <c r="B43" s="72" t="str">
        <f>Saldobalance!B53</f>
        <v>TV + licens</v>
      </c>
      <c r="C43">
        <v>1</v>
      </c>
      <c r="F43" t="s">
        <v>86</v>
      </c>
    </row>
    <row r="44" spans="1:6" ht="15" x14ac:dyDescent="0.3">
      <c r="A44" s="72">
        <f>Saldobalance!A54</f>
        <v>1353</v>
      </c>
      <c r="B44" s="72" t="str">
        <f>Saldobalance!B54</f>
        <v>Hjemmeside/e-mail</v>
      </c>
      <c r="C44">
        <v>1</v>
      </c>
      <c r="F44" t="s">
        <v>86</v>
      </c>
    </row>
    <row r="45" spans="1:6" ht="15" x14ac:dyDescent="0.3">
      <c r="A45" s="72">
        <f>Saldobalance!A55</f>
        <v>1355</v>
      </c>
      <c r="B45" s="72" t="str">
        <f>Saldobalance!B55</f>
        <v>Tidsskrifter</v>
      </c>
      <c r="C45">
        <v>1</v>
      </c>
    </row>
    <row r="46" spans="1:6" ht="15" x14ac:dyDescent="0.3">
      <c r="A46" s="70">
        <v>1359</v>
      </c>
      <c r="B46" s="72" t="str">
        <f>Saldobalance!B56</f>
        <v>Informationsteknologi i alt</v>
      </c>
      <c r="C46">
        <v>3</v>
      </c>
      <c r="D46">
        <v>1350</v>
      </c>
      <c r="F46" t="s">
        <v>86</v>
      </c>
    </row>
    <row r="47" spans="1:6" s="113" customFormat="1" ht="15" x14ac:dyDescent="0.3">
      <c r="A47" s="72">
        <f>Saldobalance!A57</f>
        <v>1375</v>
      </c>
      <c r="B47" s="72" t="str">
        <f>Saldobalance!B57</f>
        <v>Genanskaffelser</v>
      </c>
      <c r="C47" s="113">
        <v>1</v>
      </c>
      <c r="F47" s="113" t="s">
        <v>86</v>
      </c>
    </row>
    <row r="48" spans="1:6" ht="15" x14ac:dyDescent="0.3">
      <c r="A48" s="72">
        <f>Saldobalance!A58</f>
        <v>1376</v>
      </c>
      <c r="B48" s="72" t="str">
        <f>Saldobalance!B58</f>
        <v>Nyanskaffelser</v>
      </c>
      <c r="C48">
        <v>1</v>
      </c>
      <c r="F48" t="s">
        <v>86</v>
      </c>
    </row>
    <row r="49" spans="1:6" ht="15" x14ac:dyDescent="0.3">
      <c r="A49" s="72">
        <f>Saldobalance!A59</f>
        <v>1378</v>
      </c>
      <c r="B49" s="72" t="str">
        <f>Saldobalance!B59</f>
        <v>Markedsføring</v>
      </c>
      <c r="C49">
        <v>1</v>
      </c>
      <c r="F49" t="s">
        <v>86</v>
      </c>
    </row>
    <row r="50" spans="1:6" ht="15" x14ac:dyDescent="0.3">
      <c r="A50" s="70">
        <v>1380</v>
      </c>
      <c r="B50" s="72" t="str">
        <f>Saldobalance!B61</f>
        <v>Får</v>
      </c>
      <c r="C50">
        <v>4</v>
      </c>
    </row>
    <row r="51" spans="1:6" ht="15" x14ac:dyDescent="0.3">
      <c r="A51" s="72">
        <f>Saldobalance!A62</f>
        <v>1381</v>
      </c>
      <c r="B51" s="72" t="str">
        <f>Saldobalance!B62</f>
        <v>Øvrige Fåreindtægter</v>
      </c>
      <c r="C51">
        <v>1</v>
      </c>
      <c r="F51" s="100" t="s">
        <v>24</v>
      </c>
    </row>
    <row r="52" spans="1:6" ht="15" x14ac:dyDescent="0.3">
      <c r="A52" s="72">
        <f>Saldobalance!A63</f>
        <v>1382</v>
      </c>
      <c r="B52" s="72" t="str">
        <f>Saldobalance!B63</f>
        <v>Salg af fåreprodukter (Brutto)</v>
      </c>
      <c r="C52">
        <v>1</v>
      </c>
      <c r="F52" t="s">
        <v>24</v>
      </c>
    </row>
    <row r="53" spans="1:6" ht="15" x14ac:dyDescent="0.3">
      <c r="A53" s="72">
        <f>Saldobalance!A64</f>
        <v>1383</v>
      </c>
      <c r="B53" s="72" t="str">
        <f>Saldobalance!B64</f>
        <v>Rabat på fåreprodukter</v>
      </c>
      <c r="C53">
        <v>1</v>
      </c>
      <c r="F53" s="100" t="s">
        <v>86</v>
      </c>
    </row>
    <row r="54" spans="1:6" ht="15" x14ac:dyDescent="0.3">
      <c r="A54" s="72">
        <f>Saldobalance!A65</f>
        <v>1384</v>
      </c>
      <c r="B54" s="72" t="str">
        <f>Saldobalance!B65</f>
        <v>Løbende omkostninger/får</v>
      </c>
      <c r="C54">
        <v>1</v>
      </c>
      <c r="F54" s="100" t="s">
        <v>86</v>
      </c>
    </row>
    <row r="55" spans="1:6" ht="15" x14ac:dyDescent="0.3">
      <c r="A55" s="72">
        <f>Saldobalance!A66</f>
        <v>1392</v>
      </c>
      <c r="B55" s="72" t="str">
        <f>Saldobalance!B66</f>
        <v>Engangsomkostninger/får</v>
      </c>
      <c r="C55">
        <v>1</v>
      </c>
      <c r="F55" s="100" t="s">
        <v>86</v>
      </c>
    </row>
    <row r="56" spans="1:6" ht="15" x14ac:dyDescent="0.3">
      <c r="A56" s="72">
        <f>Saldobalance!A67</f>
        <v>1397</v>
      </c>
      <c r="B56" s="72" t="str">
        <f>Saldobalance!B67</f>
        <v>Årets udvikling/får</v>
      </c>
      <c r="C56">
        <v>1</v>
      </c>
      <c r="F56" s="100" t="s">
        <v>86</v>
      </c>
    </row>
    <row r="57" spans="1:6" ht="15" x14ac:dyDescent="0.3">
      <c r="A57" s="70">
        <v>1399</v>
      </c>
      <c r="B57" s="72" t="str">
        <f>Saldobalance!B68</f>
        <v>Får i alt</v>
      </c>
      <c r="C57">
        <v>3</v>
      </c>
      <c r="D57">
        <v>1380</v>
      </c>
    </row>
    <row r="58" spans="1:6" ht="15" x14ac:dyDescent="0.3">
      <c r="A58" s="70">
        <v>1400</v>
      </c>
      <c r="B58" s="72" t="str">
        <f>Saldobalance!B70</f>
        <v>EL-biler</v>
      </c>
      <c r="C58">
        <v>4</v>
      </c>
      <c r="F58" s="141"/>
    </row>
    <row r="59" spans="1:6" ht="15" x14ac:dyDescent="0.3">
      <c r="A59" s="72">
        <f>Saldobalance!A71</f>
        <v>1410</v>
      </c>
      <c r="B59" s="72" t="str">
        <f>Saldobalance!B71</f>
        <v>Overskud fra strømforbrug</v>
      </c>
      <c r="C59">
        <v>1</v>
      </c>
      <c r="F59" t="s">
        <v>24</v>
      </c>
    </row>
    <row r="60" spans="1:6" ht="15" x14ac:dyDescent="0.3">
      <c r="A60" s="72">
        <f>Saldobalance!A72</f>
        <v>1420</v>
      </c>
      <c r="B60" s="72" t="str">
        <f>Saldobalance!B72</f>
        <v>Underskud fra strømforbrug</v>
      </c>
      <c r="C60">
        <v>1</v>
      </c>
      <c r="F60" t="s">
        <v>24</v>
      </c>
    </row>
    <row r="61" spans="1:6" ht="15" x14ac:dyDescent="0.3">
      <c r="A61" s="72">
        <f>Saldobalance!A74</f>
        <v>1425</v>
      </c>
      <c r="B61" s="72" t="str">
        <f>Saldobalance!B74</f>
        <v>Elbilsforeningen mellemregninger</v>
      </c>
      <c r="C61">
        <v>1</v>
      </c>
      <c r="F61" t="s">
        <v>72</v>
      </c>
    </row>
    <row r="62" spans="1:6" ht="15" x14ac:dyDescent="0.3">
      <c r="A62" s="72">
        <f>Saldobalance!A75</f>
        <v>1427</v>
      </c>
      <c r="B62" s="72" t="str">
        <f>Saldobalance!B75</f>
        <v>Ikke i brug</v>
      </c>
      <c r="C62">
        <v>1</v>
      </c>
    </row>
    <row r="63" spans="1:6" ht="15" x14ac:dyDescent="0.3">
      <c r="A63" s="72">
        <f>Saldobalance!A76</f>
        <v>1430</v>
      </c>
      <c r="B63" s="72" t="str">
        <f>Saldobalance!B76</f>
        <v>Ikke i brug</v>
      </c>
      <c r="C63">
        <v>1</v>
      </c>
    </row>
    <row r="64" spans="1:6" ht="15" x14ac:dyDescent="0.3">
      <c r="A64" s="72">
        <f>Saldobalance!A77</f>
        <v>1440</v>
      </c>
      <c r="B64" s="72" t="str">
        <f>Saldobalance!B77</f>
        <v>Ikke i brug</v>
      </c>
      <c r="C64">
        <v>1</v>
      </c>
    </row>
    <row r="65" spans="1:4" ht="15" x14ac:dyDescent="0.3">
      <c r="A65" s="72">
        <f>Saldobalance!A78</f>
        <v>1450</v>
      </c>
      <c r="B65" s="72" t="str">
        <f>Saldobalance!B78</f>
        <v>Ikke i brug</v>
      </c>
      <c r="C65">
        <v>1</v>
      </c>
    </row>
    <row r="66" spans="1:4" ht="15" x14ac:dyDescent="0.3">
      <c r="A66" s="72">
        <f>Saldobalance!A79</f>
        <v>1460</v>
      </c>
      <c r="B66" s="72" t="str">
        <f>Saldobalance!B79</f>
        <v>Ikke i brug</v>
      </c>
      <c r="C66">
        <v>1</v>
      </c>
    </row>
    <row r="67" spans="1:4" ht="15" x14ac:dyDescent="0.3">
      <c r="A67" s="72">
        <f>Saldobalance!A80</f>
        <v>1470</v>
      </c>
      <c r="B67" s="72" t="str">
        <f>Saldobalance!B80</f>
        <v>Ikke i brug</v>
      </c>
      <c r="C67">
        <v>1</v>
      </c>
    </row>
    <row r="68" spans="1:4" ht="15" x14ac:dyDescent="0.3">
      <c r="A68" s="72">
        <f>Saldobalance!A81</f>
        <v>1480</v>
      </c>
      <c r="B68" s="72" t="str">
        <f>Saldobalance!B81</f>
        <v>Ikke i brug</v>
      </c>
      <c r="C68">
        <v>1</v>
      </c>
    </row>
    <row r="69" spans="1:4" ht="15" x14ac:dyDescent="0.3">
      <c r="A69" s="70">
        <v>1489</v>
      </c>
      <c r="B69" s="72" t="str">
        <f>Saldobalance!B82</f>
        <v>EL-biler i alt</v>
      </c>
      <c r="C69">
        <v>3</v>
      </c>
      <c r="D69">
        <v>1400</v>
      </c>
    </row>
    <row r="70" spans="1:4" ht="15" x14ac:dyDescent="0.3">
      <c r="A70" s="70">
        <v>1996</v>
      </c>
      <c r="B70" s="71"/>
      <c r="C70">
        <v>4</v>
      </c>
    </row>
    <row r="71" spans="1:4" ht="15" x14ac:dyDescent="0.3">
      <c r="A71" s="72">
        <f>Saldobalance!A85</f>
        <v>1997</v>
      </c>
      <c r="B71" s="72" t="str">
        <f>Saldobalance!B85</f>
        <v>Diverse variable omkostninger</v>
      </c>
      <c r="C71">
        <v>1</v>
      </c>
    </row>
    <row r="72" spans="1:4" ht="15" x14ac:dyDescent="0.3">
      <c r="A72" s="70">
        <v>1998</v>
      </c>
      <c r="B72" s="72" t="str">
        <f>Saldobalance!B86</f>
        <v>Variable omostninger i alt</v>
      </c>
      <c r="C72">
        <v>3</v>
      </c>
      <c r="D72">
        <v>1300</v>
      </c>
    </row>
    <row r="73" spans="1:4" ht="15" x14ac:dyDescent="0.3">
      <c r="A73" s="70">
        <v>1999</v>
      </c>
      <c r="B73" s="72" t="str">
        <f>Saldobalance!B87</f>
        <v>Dækningsbidrag</v>
      </c>
      <c r="C73">
        <v>3</v>
      </c>
      <c r="D73">
        <v>1000</v>
      </c>
    </row>
    <row r="74" spans="1:4" ht="15" x14ac:dyDescent="0.3">
      <c r="A74" s="70">
        <v>2200</v>
      </c>
      <c r="B74" s="72" t="str">
        <f>Saldobalance!B89</f>
        <v>Faste omkostninger</v>
      </c>
      <c r="C74">
        <v>4</v>
      </c>
    </row>
    <row r="75" spans="1:4" ht="15" x14ac:dyDescent="0.3">
      <c r="A75" s="72">
        <f>Saldobalance!A90</f>
        <v>2210</v>
      </c>
      <c r="B75" s="72" t="str">
        <f>Saldobalance!B90</f>
        <v>Ejendomsskat</v>
      </c>
      <c r="C75">
        <v>1</v>
      </c>
    </row>
    <row r="76" spans="1:4" ht="15" x14ac:dyDescent="0.3">
      <c r="A76" s="72">
        <f>Saldobalance!A91</f>
        <v>2220</v>
      </c>
      <c r="B76" s="72" t="str">
        <f>Saldobalance!B91</f>
        <v>Forsikringer - TopDK 9554 652 384</v>
      </c>
      <c r="C76">
        <v>1</v>
      </c>
    </row>
    <row r="77" spans="1:4" ht="15" x14ac:dyDescent="0.3">
      <c r="A77" s="70">
        <v>2230</v>
      </c>
      <c r="B77" s="72" t="str">
        <f>Saldobalance!B93</f>
        <v>Afdrag til Bakkens Bank</v>
      </c>
      <c r="C77">
        <v>4</v>
      </c>
    </row>
    <row r="78" spans="1:4" ht="15" x14ac:dyDescent="0.3">
      <c r="A78" s="72">
        <f>Saldobalance!A94</f>
        <v>2231</v>
      </c>
      <c r="B78" s="72" t="str">
        <f>Saldobalance!B94</f>
        <v>Ikke i brug</v>
      </c>
      <c r="C78">
        <v>1</v>
      </c>
    </row>
    <row r="79" spans="1:4" ht="15" x14ac:dyDescent="0.3">
      <c r="A79" s="72">
        <f>Saldobalance!A95</f>
        <v>2232</v>
      </c>
      <c r="B79" s="72" t="str">
        <f>Saldobalance!B95</f>
        <v>Ovn, 2020</v>
      </c>
      <c r="C79">
        <v>1</v>
      </c>
    </row>
    <row r="80" spans="1:4" ht="15" x14ac:dyDescent="0.3">
      <c r="A80" s="72">
        <f>Saldobalance!A96</f>
        <v>2233</v>
      </c>
      <c r="B80" s="72" t="str">
        <f>Saldobalance!B96</f>
        <v>Jordvarme - kassekredit, 2018</v>
      </c>
      <c r="C80">
        <v>1</v>
      </c>
    </row>
    <row r="81" spans="1:4" ht="15" x14ac:dyDescent="0.3">
      <c r="A81" s="72">
        <f>Saldobalance!A97</f>
        <v>2234</v>
      </c>
      <c r="B81" s="72" t="str">
        <f>Saldobalance!B97</f>
        <v>Tørretumbler - 2021</v>
      </c>
      <c r="C81">
        <v>1</v>
      </c>
    </row>
    <row r="82" spans="1:4" ht="15" x14ac:dyDescent="0.3">
      <c r="A82" s="72">
        <f>Saldobalance!A98</f>
        <v>2235</v>
      </c>
      <c r="B82" s="72" t="str">
        <f>Saldobalance!B98</f>
        <v>Vaskemaskiner, 2011</v>
      </c>
      <c r="C82">
        <v>1</v>
      </c>
    </row>
    <row r="83" spans="1:4" s="114" customFormat="1" ht="15" x14ac:dyDescent="0.3">
      <c r="A83" s="72">
        <f>Saldobalance!A99</f>
        <v>2236</v>
      </c>
      <c r="B83" s="72" t="str">
        <f>Saldobalance!B99</f>
        <v>Kompressorer, 2018</v>
      </c>
      <c r="C83" s="114">
        <v>1</v>
      </c>
    </row>
    <row r="84" spans="1:4" s="114" customFormat="1" ht="15" x14ac:dyDescent="0.3">
      <c r="A84" s="72">
        <f>Saldobalance!A100</f>
        <v>2237</v>
      </c>
      <c r="B84" s="72" t="str">
        <f>Saldobalance!B100</f>
        <v>Ikke i brug</v>
      </c>
      <c r="C84" s="114">
        <v>1</v>
      </c>
    </row>
    <row r="85" spans="1:4" ht="15" x14ac:dyDescent="0.3">
      <c r="A85" s="70">
        <v>2239</v>
      </c>
      <c r="B85" s="72" t="str">
        <f>Saldobalance!B101</f>
        <v>Afdrag til Bakkens Bank i alt</v>
      </c>
      <c r="C85">
        <v>3</v>
      </c>
      <c r="D85">
        <v>2230</v>
      </c>
    </row>
    <row r="86" spans="1:4" s="141" customFormat="1" ht="15" x14ac:dyDescent="0.3">
      <c r="A86" s="70">
        <v>2240</v>
      </c>
      <c r="B86" s="72" t="str">
        <f>Saldobalance!B103</f>
        <v>Opsparing i Bakkens Bank</v>
      </c>
      <c r="C86" s="141">
        <v>4</v>
      </c>
    </row>
    <row r="87" spans="1:4" s="114" customFormat="1" ht="15" x14ac:dyDescent="0.3">
      <c r="A87" s="72">
        <f>Saldobalance!A104</f>
        <v>2241</v>
      </c>
      <c r="B87" s="72" t="str">
        <f>Saldobalance!B104</f>
        <v>Opsparing til 5-årsplanen</v>
      </c>
      <c r="C87" s="114">
        <v>1</v>
      </c>
    </row>
    <row r="88" spans="1:4" s="141" customFormat="1" ht="15" x14ac:dyDescent="0.3">
      <c r="A88" s="72">
        <f>Saldobalance!A105</f>
        <v>2248</v>
      </c>
      <c r="B88" s="72" t="str">
        <f>Saldobalance!B105</f>
        <v>Opsparing i øvrigt</v>
      </c>
      <c r="C88" s="141">
        <v>1</v>
      </c>
    </row>
    <row r="89" spans="1:4" s="141" customFormat="1" ht="15" x14ac:dyDescent="0.3">
      <c r="A89" s="70">
        <v>2239</v>
      </c>
      <c r="B89" s="72" t="str">
        <f>Saldobalance!B106</f>
        <v>Opsparing i Bakkens Bank i alt</v>
      </c>
      <c r="C89" s="141">
        <v>3</v>
      </c>
      <c r="D89" s="141">
        <v>2240</v>
      </c>
    </row>
    <row r="90" spans="1:4" ht="15" x14ac:dyDescent="0.3">
      <c r="A90" s="70">
        <v>2250</v>
      </c>
      <c r="B90" s="72" t="str">
        <f>Saldobalance!B108</f>
        <v>Renter og gebyrer</v>
      </c>
      <c r="C90">
        <v>4</v>
      </c>
    </row>
    <row r="91" spans="1:4" ht="15" x14ac:dyDescent="0.3">
      <c r="A91" s="72">
        <f>Saldobalance!A109</f>
        <v>2251</v>
      </c>
      <c r="B91" s="72" t="str">
        <f>Saldobalance!B109</f>
        <v>Nordea renteudgift</v>
      </c>
      <c r="C91">
        <v>1</v>
      </c>
    </row>
    <row r="92" spans="1:4" s="111" customFormat="1" ht="15" x14ac:dyDescent="0.3">
      <c r="A92" s="72">
        <f>Saldobalance!A110</f>
        <v>2252</v>
      </c>
      <c r="B92" s="72" t="str">
        <f>Saldobalance!B110</f>
        <v>Nordea renteindtægt</v>
      </c>
      <c r="C92" s="111">
        <v>1</v>
      </c>
    </row>
    <row r="93" spans="1:4" ht="15" x14ac:dyDescent="0.3">
      <c r="A93" s="72">
        <f>Saldobalance!A111</f>
        <v>2255</v>
      </c>
      <c r="B93" s="72" t="str">
        <f>Saldobalance!B111</f>
        <v>Gevinst på valutakursdiff, debitorer</v>
      </c>
      <c r="C93">
        <v>1</v>
      </c>
    </row>
    <row r="94" spans="1:4" ht="15" x14ac:dyDescent="0.3">
      <c r="A94" s="72">
        <f>Saldobalance!A112</f>
        <v>2256</v>
      </c>
      <c r="B94" s="72" t="str">
        <f>Saldobalance!B112</f>
        <v>Gevinst på valutakursdiff, kreditorer</v>
      </c>
      <c r="C94">
        <v>1</v>
      </c>
    </row>
    <row r="95" spans="1:4" ht="15" x14ac:dyDescent="0.3">
      <c r="A95" s="72">
        <f>Saldobalance!A113</f>
        <v>2258</v>
      </c>
      <c r="B95" s="72" t="str">
        <f>Saldobalance!B113</f>
        <v>Andre renter og gebyrer</v>
      </c>
      <c r="C95">
        <v>1</v>
      </c>
    </row>
    <row r="96" spans="1:4" ht="15" x14ac:dyDescent="0.3">
      <c r="A96" s="70">
        <v>2259</v>
      </c>
      <c r="B96" s="72" t="str">
        <f>Saldobalance!B114</f>
        <v>Renter og gebyrer i alt</v>
      </c>
      <c r="C96">
        <v>3</v>
      </c>
      <c r="D96">
        <v>2250</v>
      </c>
    </row>
    <row r="97" spans="1:4" ht="15" x14ac:dyDescent="0.3">
      <c r="A97" s="70">
        <v>2260</v>
      </c>
      <c r="B97" s="72" t="str">
        <f>Saldobalance!B116</f>
        <v>Ressourceforbrug i Fælleshuset</v>
      </c>
      <c r="C97">
        <v>4</v>
      </c>
    </row>
    <row r="98" spans="1:4" ht="15" x14ac:dyDescent="0.3">
      <c r="A98" s="72">
        <f>Saldobalance!A117</f>
        <v>2261</v>
      </c>
      <c r="B98" s="72" t="str">
        <f>Saldobalance!B117</f>
        <v>Renovation</v>
      </c>
      <c r="C98">
        <v>1</v>
      </c>
    </row>
    <row r="99" spans="1:4" ht="15" x14ac:dyDescent="0.3">
      <c r="A99" s="72">
        <f>Saldobalance!A118</f>
        <v>2262</v>
      </c>
      <c r="B99" s="72" t="str">
        <f>Saldobalance!B118</f>
        <v>EL</v>
      </c>
      <c r="C99">
        <v>1</v>
      </c>
    </row>
    <row r="100" spans="1:4" ht="15" x14ac:dyDescent="0.3">
      <c r="A100" s="72">
        <f>Saldobalance!A119</f>
        <v>2263</v>
      </c>
      <c r="B100" s="72" t="str">
        <f>Saldobalance!B119</f>
        <v>Varme</v>
      </c>
      <c r="C100">
        <v>1</v>
      </c>
    </row>
    <row r="101" spans="1:4" ht="15" x14ac:dyDescent="0.3">
      <c r="A101" s="72">
        <f>Saldobalance!A120</f>
        <v>2264</v>
      </c>
      <c r="B101" s="72" t="str">
        <f>Saldobalance!B120</f>
        <v>Vand</v>
      </c>
      <c r="C101">
        <v>1</v>
      </c>
    </row>
    <row r="102" spans="1:4" ht="15" x14ac:dyDescent="0.3">
      <c r="A102" s="72">
        <f>Saldobalance!A121</f>
        <v>2265</v>
      </c>
      <c r="B102" s="72" t="str">
        <f>Saldobalance!B121</f>
        <v>Vask</v>
      </c>
      <c r="C102">
        <v>1</v>
      </c>
    </row>
    <row r="103" spans="1:4" s="114" customFormat="1" ht="15" x14ac:dyDescent="0.3">
      <c r="A103" s="72">
        <f>Saldobalance!A122</f>
        <v>2266</v>
      </c>
      <c r="B103" s="72" t="str">
        <f>Saldobalance!B122</f>
        <v>Gas køkken</v>
      </c>
      <c r="C103" s="114">
        <v>1</v>
      </c>
    </row>
    <row r="104" spans="1:4" ht="15" x14ac:dyDescent="0.3">
      <c r="A104" s="70">
        <v>2269</v>
      </c>
      <c r="B104" s="72" t="str">
        <f>Saldobalance!B123</f>
        <v>Ressourceforbrug i Fælleshuset i alt</v>
      </c>
      <c r="C104">
        <v>3</v>
      </c>
      <c r="D104">
        <v>2260</v>
      </c>
    </row>
    <row r="105" spans="1:4" ht="15" x14ac:dyDescent="0.3">
      <c r="A105" s="70">
        <v>2270</v>
      </c>
      <c r="B105" s="72" t="str">
        <f>Saldobalance!B125</f>
        <v>Bestyrelsen</v>
      </c>
      <c r="C105">
        <v>4</v>
      </c>
    </row>
    <row r="106" spans="1:4" ht="15" x14ac:dyDescent="0.3">
      <c r="A106" s="72">
        <f>Saldobalance!A126</f>
        <v>2271</v>
      </c>
      <c r="B106" s="72" t="str">
        <f>Saldobalance!B126</f>
        <v>Drift af bestyrelsen</v>
      </c>
      <c r="C106">
        <v>1</v>
      </c>
    </row>
    <row r="107" spans="1:4" ht="15" x14ac:dyDescent="0.3">
      <c r="A107" s="72">
        <f>Saldobalance!A127</f>
        <v>2272</v>
      </c>
      <c r="B107" s="72" t="str">
        <f>Saldobalance!B127</f>
        <v>Kontorartikler og Porto</v>
      </c>
      <c r="C107">
        <v>1</v>
      </c>
    </row>
    <row r="108" spans="1:4" ht="15" x14ac:dyDescent="0.3">
      <c r="A108" s="72">
        <f>Saldobalance!A128</f>
        <v>2273</v>
      </c>
      <c r="B108" s="72" t="str">
        <f>Saldobalance!B128</f>
        <v>Økonomisystem</v>
      </c>
      <c r="C108">
        <v>1</v>
      </c>
    </row>
    <row r="109" spans="1:4" ht="15" x14ac:dyDescent="0.3">
      <c r="A109" s="70">
        <v>2279</v>
      </c>
      <c r="B109" s="72" t="str">
        <f>Saldobalance!B129</f>
        <v>Drift af bestyrelsen i alt</v>
      </c>
      <c r="C109">
        <v>3</v>
      </c>
      <c r="D109">
        <v>2270</v>
      </c>
    </row>
    <row r="110" spans="1:4" ht="15" x14ac:dyDescent="0.3">
      <c r="A110" s="70">
        <v>2280</v>
      </c>
      <c r="B110" s="72" t="str">
        <f>Saldobalance!B131</f>
        <v>Revision</v>
      </c>
      <c r="C110">
        <v>4</v>
      </c>
    </row>
    <row r="111" spans="1:4" ht="15" x14ac:dyDescent="0.3">
      <c r="A111" s="72">
        <f>Saldobalance!A132</f>
        <v>2282</v>
      </c>
      <c r="B111" s="72" t="str">
        <f>Saldobalance!B132</f>
        <v>GEF-regnskab</v>
      </c>
      <c r="C111">
        <v>1</v>
      </c>
    </row>
    <row r="112" spans="1:4" ht="15" x14ac:dyDescent="0.3">
      <c r="A112" s="72">
        <f>Saldobalance!A133</f>
        <v>2284</v>
      </c>
      <c r="B112" s="72" t="str">
        <f>Saldobalance!B133</f>
        <v>IS-regnskab</v>
      </c>
      <c r="C112">
        <v>1</v>
      </c>
    </row>
    <row r="113" spans="1:6" ht="15" x14ac:dyDescent="0.3">
      <c r="A113" s="70">
        <v>2289</v>
      </c>
      <c r="B113" s="72" t="str">
        <f>Saldobalance!B134</f>
        <v>Revision i alt</v>
      </c>
      <c r="C113">
        <v>3</v>
      </c>
      <c r="D113">
        <v>2280</v>
      </c>
    </row>
    <row r="114" spans="1:6" ht="15" x14ac:dyDescent="0.3">
      <c r="A114" s="70">
        <v>2290</v>
      </c>
      <c r="B114" s="72" t="str">
        <f>Saldobalance!B136</f>
        <v>Diverse</v>
      </c>
      <c r="C114">
        <v>4</v>
      </c>
    </row>
    <row r="115" spans="1:6" ht="15" x14ac:dyDescent="0.3">
      <c r="A115" s="72">
        <f>Saldobalance!A137</f>
        <v>2292</v>
      </c>
      <c r="B115" s="72" t="str">
        <f>Saldobalance!B137</f>
        <v>Tab på Bofæller</v>
      </c>
      <c r="C115">
        <v>1</v>
      </c>
    </row>
    <row r="116" spans="1:6" ht="15" x14ac:dyDescent="0.3">
      <c r="A116" s="72">
        <f>Saldobalance!A138</f>
        <v>2293</v>
      </c>
      <c r="B116" s="72" t="str">
        <f>Saldobalance!B138</f>
        <v>Øredifferencer</v>
      </c>
      <c r="C116">
        <v>1</v>
      </c>
    </row>
    <row r="117" spans="1:6" ht="15" x14ac:dyDescent="0.3">
      <c r="A117" s="72">
        <f>Saldobalance!A139</f>
        <v>2294</v>
      </c>
      <c r="B117" s="72" t="str">
        <f>Saldobalance!B139</f>
        <v>Afrundingsfejl på Sol-projekt</v>
      </c>
      <c r="C117">
        <v>1</v>
      </c>
    </row>
    <row r="118" spans="1:6" ht="15" x14ac:dyDescent="0.3">
      <c r="A118" s="72">
        <f>Saldobalance!A140</f>
        <v>2295</v>
      </c>
      <c r="B118" s="72" t="str">
        <f>Saldobalance!B140</f>
        <v>Diverse omkostninger</v>
      </c>
      <c r="C118">
        <v>1</v>
      </c>
    </row>
    <row r="119" spans="1:6" ht="15" x14ac:dyDescent="0.3">
      <c r="A119" s="70">
        <v>2296</v>
      </c>
      <c r="B119" s="72" t="str">
        <f>Saldobalance!B141</f>
        <v>Diverse i alt</v>
      </c>
      <c r="C119">
        <v>3</v>
      </c>
      <c r="D119">
        <v>2290</v>
      </c>
    </row>
    <row r="120" spans="1:6" ht="15" x14ac:dyDescent="0.3">
      <c r="A120" s="70">
        <v>2997</v>
      </c>
      <c r="B120" s="72" t="str">
        <f>Saldobalance!B142</f>
        <v>Faste omkostninger i alt</v>
      </c>
      <c r="C120">
        <v>3</v>
      </c>
      <c r="D120">
        <v>2200</v>
      </c>
    </row>
    <row r="121" spans="1:6" ht="15" x14ac:dyDescent="0.3">
      <c r="A121" s="70">
        <v>2998</v>
      </c>
      <c r="B121" s="72" t="str">
        <f>Saldobalance!B143</f>
        <v>Fælles omkostninger i alt</v>
      </c>
      <c r="C121">
        <v>3</v>
      </c>
      <c r="D121">
        <v>1300</v>
      </c>
    </row>
    <row r="122" spans="1:6" ht="15" x14ac:dyDescent="0.3">
      <c r="A122" s="70">
        <v>2999</v>
      </c>
      <c r="B122" s="72" t="str">
        <f>Saldobalance!B144</f>
        <v>Årets resultat for Bakken</v>
      </c>
      <c r="C122">
        <v>3</v>
      </c>
      <c r="D122">
        <v>1000</v>
      </c>
    </row>
    <row r="123" spans="1:6" ht="15" x14ac:dyDescent="0.3">
      <c r="A123" s="70">
        <v>3000</v>
      </c>
      <c r="B123" s="72" t="str">
        <f>Saldobalance!B146</f>
        <v>Cigarkasserne</v>
      </c>
      <c r="C123">
        <v>4</v>
      </c>
    </row>
    <row r="124" spans="1:6" ht="15" x14ac:dyDescent="0.3">
      <c r="A124" s="70">
        <v>3100</v>
      </c>
      <c r="B124" s="72" t="str">
        <f>Saldobalance!B148</f>
        <v>Vaskeriet</v>
      </c>
      <c r="C124">
        <v>4</v>
      </c>
    </row>
    <row r="125" spans="1:6" ht="15" x14ac:dyDescent="0.3">
      <c r="A125" s="72">
        <f>Saldobalance!A149</f>
        <v>3110</v>
      </c>
      <c r="B125" s="72" t="str">
        <f>Saldobalance!B149</f>
        <v>Vask opkrævet</v>
      </c>
      <c r="C125">
        <v>1</v>
      </c>
      <c r="F125" t="s">
        <v>24</v>
      </c>
    </row>
    <row r="126" spans="1:6" ht="15" x14ac:dyDescent="0.3">
      <c r="A126" s="72">
        <f>Saldobalance!A150</f>
        <v>3120</v>
      </c>
      <c r="B126" s="72" t="str">
        <f>Saldobalance!B150</f>
        <v>Vask Fælleshuset</v>
      </c>
      <c r="C126">
        <v>1</v>
      </c>
      <c r="F126" t="s">
        <v>24</v>
      </c>
    </row>
    <row r="127" spans="1:6" ht="15" x14ac:dyDescent="0.3">
      <c r="A127" s="72">
        <f>Saldobalance!A151</f>
        <v>3140</v>
      </c>
      <c r="B127" s="72" t="str">
        <f>Saldobalance!B151</f>
        <v>Vaskemidler</v>
      </c>
      <c r="C127">
        <v>1</v>
      </c>
    </row>
    <row r="128" spans="1:6" ht="15" x14ac:dyDescent="0.3">
      <c r="A128" s="72">
        <f>Saldobalance!A152</f>
        <v>3150</v>
      </c>
      <c r="B128" s="72" t="str">
        <f>Saldobalance!B152</f>
        <v>EL</v>
      </c>
      <c r="C128">
        <v>1</v>
      </c>
    </row>
    <row r="129" spans="1:6" ht="15" x14ac:dyDescent="0.3">
      <c r="A129" s="72">
        <f>Saldobalance!A153</f>
        <v>3160</v>
      </c>
      <c r="B129" s="72" t="str">
        <f>Saldobalance!B153</f>
        <v>Gas</v>
      </c>
      <c r="C129">
        <v>1</v>
      </c>
    </row>
    <row r="130" spans="1:6" ht="15" x14ac:dyDescent="0.3">
      <c r="A130" s="72">
        <f>Saldobalance!A154</f>
        <v>3170</v>
      </c>
      <c r="B130" s="72" t="str">
        <f>Saldobalance!B154</f>
        <v>Vand</v>
      </c>
      <c r="C130">
        <v>1</v>
      </c>
    </row>
    <row r="131" spans="1:6" ht="15" x14ac:dyDescent="0.3">
      <c r="A131" s="72">
        <f>Saldobalance!A155</f>
        <v>3180</v>
      </c>
      <c r="B131" s="72" t="str">
        <f>Saldobalance!B155</f>
        <v>Salttabletter</v>
      </c>
      <c r="C131">
        <v>1</v>
      </c>
    </row>
    <row r="132" spans="1:6" ht="15" x14ac:dyDescent="0.3">
      <c r="A132" s="70">
        <v>3199</v>
      </c>
      <c r="B132" s="72" t="str">
        <f>Saldobalance!B156</f>
        <v>Vaskeriet i alt</v>
      </c>
      <c r="C132">
        <v>3</v>
      </c>
      <c r="D132">
        <v>3100</v>
      </c>
    </row>
    <row r="133" spans="1:6" ht="15" x14ac:dyDescent="0.3">
      <c r="A133" s="70">
        <v>3200</v>
      </c>
      <c r="B133" s="72" t="str">
        <f>Saldobalance!B158</f>
        <v>Vand</v>
      </c>
      <c r="C133">
        <v>4</v>
      </c>
    </row>
    <row r="134" spans="1:6" ht="15" x14ac:dyDescent="0.3">
      <c r="A134" s="72">
        <f>Saldobalance!A159</f>
        <v>3210</v>
      </c>
      <c r="B134" s="72" t="str">
        <f>Saldobalance!B159</f>
        <v>Vand opkrævet</v>
      </c>
      <c r="C134">
        <v>1</v>
      </c>
      <c r="F134" t="s">
        <v>24</v>
      </c>
    </row>
    <row r="135" spans="1:6" ht="15" x14ac:dyDescent="0.3">
      <c r="A135" s="72">
        <f>Saldobalance!A160</f>
        <v>3220</v>
      </c>
      <c r="B135" s="72" t="str">
        <f>Saldobalance!B160</f>
        <v>Vand Fælleshuset</v>
      </c>
      <c r="C135">
        <v>1</v>
      </c>
      <c r="F135" t="s">
        <v>24</v>
      </c>
    </row>
    <row r="136" spans="1:6" ht="15" x14ac:dyDescent="0.3">
      <c r="A136" s="72">
        <f>Saldobalance!A161</f>
        <v>3230</v>
      </c>
      <c r="B136" s="72" t="str">
        <f>Saldobalance!B161</f>
        <v>Vand vaskeriet</v>
      </c>
      <c r="C136">
        <v>1</v>
      </c>
      <c r="F136" t="s">
        <v>24</v>
      </c>
    </row>
    <row r="137" spans="1:6" ht="15" x14ac:dyDescent="0.3">
      <c r="A137" s="72">
        <f>Saldobalance!A162</f>
        <v>3240</v>
      </c>
      <c r="B137" s="72" t="str">
        <f>Saldobalance!B162</f>
        <v>Vand Fredensborg Forsyning</v>
      </c>
      <c r="C137">
        <v>1</v>
      </c>
    </row>
    <row r="138" spans="1:6" ht="15" x14ac:dyDescent="0.3">
      <c r="A138" s="70">
        <v>3299</v>
      </c>
      <c r="B138" s="72" t="str">
        <f>Saldobalance!B163</f>
        <v>Vand i alt</v>
      </c>
      <c r="C138">
        <v>3</v>
      </c>
      <c r="D138">
        <v>3200</v>
      </c>
    </row>
    <row r="139" spans="1:6" ht="15" x14ac:dyDescent="0.3">
      <c r="A139" s="70">
        <v>3300</v>
      </c>
      <c r="B139" s="72" t="str">
        <f>Saldobalance!B165</f>
        <v>EL/Varme</v>
      </c>
      <c r="C139">
        <v>4</v>
      </c>
    </row>
    <row r="140" spans="1:6" ht="15" x14ac:dyDescent="0.3">
      <c r="A140" s="72">
        <f>Saldobalance!A166</f>
        <v>3310</v>
      </c>
      <c r="B140" s="72" t="str">
        <f>Saldobalance!B166</f>
        <v>Varme opkrævet</v>
      </c>
      <c r="C140">
        <v>1</v>
      </c>
      <c r="F140" t="s">
        <v>24</v>
      </c>
    </row>
    <row r="141" spans="1:6" ht="15" x14ac:dyDescent="0.3">
      <c r="A141" s="72">
        <f>Saldobalance!A167</f>
        <v>3320</v>
      </c>
      <c r="B141" s="72" t="str">
        <f>Saldobalance!B167</f>
        <v>Varme Fælleshuset</v>
      </c>
      <c r="C141">
        <v>1</v>
      </c>
      <c r="F141" t="s">
        <v>24</v>
      </c>
    </row>
    <row r="142" spans="1:6" ht="15" x14ac:dyDescent="0.3">
      <c r="A142" s="72">
        <f>Saldobalance!A168</f>
        <v>3330</v>
      </c>
      <c r="B142" s="72" t="str">
        <f>Saldobalance!B168</f>
        <v>Grøn EL Fælleshus, Østlænge, EL-biler</v>
      </c>
      <c r="C142">
        <v>1</v>
      </c>
      <c r="F142" t="s">
        <v>24</v>
      </c>
    </row>
    <row r="143" spans="1:6" ht="15" x14ac:dyDescent="0.3">
      <c r="A143" s="72">
        <f>Saldobalance!A169</f>
        <v>3340</v>
      </c>
      <c r="B143" s="72" t="str">
        <f>Saldobalance!B169</f>
        <v>Ørsted</v>
      </c>
      <c r="C143">
        <v>1</v>
      </c>
    </row>
    <row r="144" spans="1:6" ht="15" x14ac:dyDescent="0.3">
      <c r="A144" s="70">
        <v>3399</v>
      </c>
      <c r="B144" s="72" t="str">
        <f>Saldobalance!B170</f>
        <v>EL/varme i alt</v>
      </c>
      <c r="C144">
        <v>3</v>
      </c>
      <c r="D144">
        <v>3300</v>
      </c>
    </row>
    <row r="145" spans="1:6" ht="15" x14ac:dyDescent="0.3">
      <c r="A145" s="70">
        <v>3400</v>
      </c>
      <c r="B145" s="72" t="str">
        <f>Saldobalance!B172</f>
        <v>Renovation</v>
      </c>
      <c r="C145">
        <v>4</v>
      </c>
    </row>
    <row r="146" spans="1:6" ht="15" x14ac:dyDescent="0.3">
      <c r="A146" s="72">
        <f>Saldobalance!A173</f>
        <v>3410</v>
      </c>
      <c r="B146" s="72" t="str">
        <f>Saldobalance!B173</f>
        <v>Renovation opkrævet</v>
      </c>
      <c r="C146">
        <v>1</v>
      </c>
      <c r="F146" t="s">
        <v>24</v>
      </c>
    </row>
    <row r="147" spans="1:6" ht="15" x14ac:dyDescent="0.3">
      <c r="A147" s="72">
        <f>Saldobalance!A174</f>
        <v>3420</v>
      </c>
      <c r="B147" s="72" t="str">
        <f>Saldobalance!B174</f>
        <v>Renovation Fælleshuset</v>
      </c>
      <c r="C147">
        <v>1</v>
      </c>
      <c r="F147" t="s">
        <v>24</v>
      </c>
    </row>
    <row r="148" spans="1:6" ht="15" x14ac:dyDescent="0.3">
      <c r="A148" s="72">
        <f>Saldobalance!A175</f>
        <v>3430</v>
      </c>
      <c r="B148" s="72" t="str">
        <f>Saldobalance!B175</f>
        <v>Renovation Fredensborg Forsyning</v>
      </c>
      <c r="C148">
        <v>1</v>
      </c>
    </row>
    <row r="149" spans="1:6" ht="15" x14ac:dyDescent="0.3">
      <c r="A149" s="70">
        <v>3499</v>
      </c>
      <c r="B149" s="72" t="str">
        <f>Saldobalance!B176</f>
        <v>Renovation i alt</v>
      </c>
      <c r="C149">
        <v>3</v>
      </c>
      <c r="D149">
        <v>3400</v>
      </c>
    </row>
    <row r="150" spans="1:6" ht="15" x14ac:dyDescent="0.3">
      <c r="A150" s="70">
        <v>3500</v>
      </c>
      <c r="B150" s="72" t="str">
        <f>Saldobalance!B178</f>
        <v>TV</v>
      </c>
      <c r="C150">
        <v>4</v>
      </c>
    </row>
    <row r="151" spans="1:6" ht="15" x14ac:dyDescent="0.3">
      <c r="A151" s="72">
        <f>Saldobalance!A179</f>
        <v>3510</v>
      </c>
      <c r="B151" s="72" t="str">
        <f>Saldobalance!B179</f>
        <v>TV opkrævet</v>
      </c>
      <c r="C151">
        <v>1</v>
      </c>
      <c r="F151" t="s">
        <v>24</v>
      </c>
    </row>
    <row r="152" spans="1:6" ht="15" x14ac:dyDescent="0.3">
      <c r="A152" s="72">
        <f>Saldobalance!A180</f>
        <v>3520</v>
      </c>
      <c r="B152" s="72" t="str">
        <f>Saldobalance!B180</f>
        <v>TV Fælleshuset</v>
      </c>
      <c r="C152">
        <v>1</v>
      </c>
      <c r="F152" t="s">
        <v>24</v>
      </c>
    </row>
    <row r="153" spans="1:6" ht="15" x14ac:dyDescent="0.3">
      <c r="A153" s="72">
        <f>Saldobalance!A181</f>
        <v>3530</v>
      </c>
      <c r="B153" s="72" t="str">
        <f>Saldobalance!B181</f>
        <v>YouSee og andre</v>
      </c>
      <c r="C153">
        <v>1</v>
      </c>
    </row>
    <row r="154" spans="1:6" ht="15" x14ac:dyDescent="0.3">
      <c r="A154" s="70">
        <v>3599</v>
      </c>
      <c r="B154" s="72" t="str">
        <f>Saldobalance!B182</f>
        <v>TV i alt</v>
      </c>
      <c r="C154">
        <v>3</v>
      </c>
      <c r="D154">
        <v>3500</v>
      </c>
    </row>
    <row r="155" spans="1:6" ht="15" x14ac:dyDescent="0.3">
      <c r="A155" s="70">
        <v>3600</v>
      </c>
      <c r="B155" s="72" t="str">
        <f>Saldobalance!B184</f>
        <v>Fadøl</v>
      </c>
      <c r="C155">
        <v>4</v>
      </c>
    </row>
    <row r="156" spans="1:6" ht="15" x14ac:dyDescent="0.3">
      <c r="A156" s="72">
        <f>Saldobalance!A185</f>
        <v>3610</v>
      </c>
      <c r="B156" s="72" t="str">
        <f>Saldobalance!B185</f>
        <v>Øl fustager opkrævet</v>
      </c>
      <c r="C156">
        <v>1</v>
      </c>
      <c r="F156" t="s">
        <v>24</v>
      </c>
    </row>
    <row r="157" spans="1:6" ht="15" x14ac:dyDescent="0.3">
      <c r="A157" s="72">
        <f>Saldobalance!A186</f>
        <v>3620</v>
      </c>
      <c r="B157" s="72" t="str">
        <f>Saldobalance!B186</f>
        <v>Øl fustager Fælleshuset</v>
      </c>
      <c r="C157">
        <v>1</v>
      </c>
      <c r="F157" t="s">
        <v>24</v>
      </c>
    </row>
    <row r="158" spans="1:6" ht="15" x14ac:dyDescent="0.3">
      <c r="A158" s="72">
        <f>Saldobalance!A187</f>
        <v>3625</v>
      </c>
      <c r="B158" s="72" t="str">
        <f>Saldobalance!B187</f>
        <v>Regulering af lagerbeholdning</v>
      </c>
      <c r="C158">
        <v>1</v>
      </c>
    </row>
    <row r="159" spans="1:6" ht="15" x14ac:dyDescent="0.3">
      <c r="A159" s="72">
        <f>Saldobalance!A188</f>
        <v>3630</v>
      </c>
      <c r="B159" s="72" t="str">
        <f>Saldobalance!B188</f>
        <v>Tuborg og andre</v>
      </c>
      <c r="C159">
        <v>1</v>
      </c>
    </row>
    <row r="160" spans="1:6" ht="15" x14ac:dyDescent="0.3">
      <c r="A160" s="70">
        <v>3699</v>
      </c>
      <c r="B160" s="72" t="str">
        <f>Saldobalance!B189</f>
        <v>Fadøl i alt</v>
      </c>
      <c r="C160">
        <v>3</v>
      </c>
      <c r="D160">
        <v>3600</v>
      </c>
    </row>
    <row r="161" spans="1:6" ht="15" x14ac:dyDescent="0.3">
      <c r="A161" s="70">
        <v>3700</v>
      </c>
      <c r="B161" s="72" t="str">
        <f>Saldobalance!B191</f>
        <v>Ikke i brug</v>
      </c>
      <c r="C161">
        <v>4</v>
      </c>
    </row>
    <row r="162" spans="1:6" ht="15" x14ac:dyDescent="0.3">
      <c r="A162" s="72">
        <f>Saldobalance!A192</f>
        <v>3710</v>
      </c>
      <c r="B162" s="72" t="str">
        <f>Saldobalance!B192</f>
        <v>Ikke i brug</v>
      </c>
      <c r="C162">
        <v>1</v>
      </c>
      <c r="F162" t="s">
        <v>24</v>
      </c>
    </row>
    <row r="163" spans="1:6" s="114" customFormat="1" ht="15" x14ac:dyDescent="0.3">
      <c r="A163" s="72">
        <f>Saldobalance!A193</f>
        <v>3720</v>
      </c>
      <c r="B163" s="72" t="str">
        <f>Saldobalance!B193</f>
        <v>Ikke i brug</v>
      </c>
      <c r="C163" s="114">
        <v>1</v>
      </c>
    </row>
    <row r="164" spans="1:6" s="119" customFormat="1" ht="15" x14ac:dyDescent="0.3">
      <c r="A164" s="72">
        <f>Saldobalance!A194</f>
        <v>3725</v>
      </c>
      <c r="B164" s="72" t="str">
        <f>Saldobalance!B194</f>
        <v>Ikke i brug</v>
      </c>
      <c r="C164" s="119">
        <v>1</v>
      </c>
    </row>
    <row r="165" spans="1:6" s="119" customFormat="1" ht="15" x14ac:dyDescent="0.3">
      <c r="A165" s="72">
        <v>3727</v>
      </c>
      <c r="B165" s="72" t="str">
        <f>Saldobalance!B195</f>
        <v>Ikke i brug</v>
      </c>
      <c r="C165" s="119">
        <v>3</v>
      </c>
      <c r="D165" s="119">
        <v>3700</v>
      </c>
    </row>
    <row r="166" spans="1:6" s="119" customFormat="1" ht="15" x14ac:dyDescent="0.3">
      <c r="A166" s="72">
        <f>Saldobalance!A196</f>
        <v>3730</v>
      </c>
      <c r="B166" s="72" t="str">
        <f>Saldobalance!B196</f>
        <v>Ikke i brug</v>
      </c>
      <c r="C166" s="119">
        <v>1</v>
      </c>
    </row>
    <row r="167" spans="1:6" s="119" customFormat="1" ht="15" x14ac:dyDescent="0.3">
      <c r="A167" s="72">
        <f>Saldobalance!A197</f>
        <v>3732</v>
      </c>
      <c r="B167" s="72" t="str">
        <f>Saldobalance!B197</f>
        <v>Ikke i brug</v>
      </c>
      <c r="C167" s="119">
        <v>1</v>
      </c>
    </row>
    <row r="168" spans="1:6" ht="15" x14ac:dyDescent="0.3">
      <c r="A168" s="72">
        <f>Saldobalance!A198</f>
        <v>3733</v>
      </c>
      <c r="B168" s="72" t="str">
        <f>Saldobalance!B198</f>
        <v>Ikke i brug</v>
      </c>
      <c r="C168">
        <v>1</v>
      </c>
    </row>
    <row r="169" spans="1:6" s="114" customFormat="1" ht="15" x14ac:dyDescent="0.3">
      <c r="A169" s="72">
        <f>Saldobalance!A199</f>
        <v>3735</v>
      </c>
      <c r="B169" s="72" t="str">
        <f>Saldobalance!B199</f>
        <v>Ikke i brug</v>
      </c>
      <c r="C169" s="114">
        <v>1</v>
      </c>
    </row>
    <row r="170" spans="1:6" s="114" customFormat="1" ht="15" x14ac:dyDescent="0.3">
      <c r="A170" s="72">
        <f>Saldobalance!A200</f>
        <v>3740</v>
      </c>
      <c r="B170" s="72" t="str">
        <f>Saldobalance!B200</f>
        <v>Ikke i brug</v>
      </c>
      <c r="C170" s="114">
        <v>1</v>
      </c>
    </row>
    <row r="171" spans="1:6" s="114" customFormat="1" ht="15" x14ac:dyDescent="0.3">
      <c r="A171" s="72">
        <f>Saldobalance!A201</f>
        <v>3750</v>
      </c>
      <c r="B171" s="72" t="str">
        <f>Saldobalance!B201</f>
        <v>Ikke i brug</v>
      </c>
      <c r="C171" s="114">
        <v>1</v>
      </c>
    </row>
    <row r="172" spans="1:6" s="119" customFormat="1" ht="15" x14ac:dyDescent="0.3">
      <c r="A172" s="72">
        <f>Saldobalance!A202</f>
        <v>3760</v>
      </c>
      <c r="B172" s="72" t="str">
        <f>Saldobalance!B202</f>
        <v>Ikke i brug</v>
      </c>
      <c r="C172" s="119">
        <v>1</v>
      </c>
    </row>
    <row r="173" spans="1:6" ht="15" x14ac:dyDescent="0.3">
      <c r="A173" s="70">
        <v>3789</v>
      </c>
      <c r="B173" s="72" t="str">
        <f>Saldobalance!B203</f>
        <v>Ikke i brug</v>
      </c>
      <c r="C173">
        <v>3</v>
      </c>
      <c r="D173">
        <v>3730</v>
      </c>
    </row>
    <row r="174" spans="1:6" s="119" customFormat="1" ht="15" x14ac:dyDescent="0.3">
      <c r="A174" s="70">
        <v>3799</v>
      </c>
      <c r="B174" s="72" t="str">
        <f>Saldobalance!B204</f>
        <v>Ikke i brug</v>
      </c>
      <c r="C174" s="119">
        <v>3</v>
      </c>
      <c r="D174" s="119">
        <v>3700</v>
      </c>
    </row>
    <row r="175" spans="1:6" ht="15" x14ac:dyDescent="0.3">
      <c r="A175" s="70">
        <v>3900</v>
      </c>
      <c r="B175" s="72" t="str">
        <f>Saldobalance!B208</f>
        <v>Deltagerbetalte arrangementer</v>
      </c>
      <c r="C175">
        <v>4</v>
      </c>
    </row>
    <row r="176" spans="1:6" ht="15" x14ac:dyDescent="0.3">
      <c r="A176" s="72">
        <f>Saldobalance!A209</f>
        <v>3910</v>
      </c>
      <c r="B176" s="72" t="str">
        <f>Saldobalance!B209</f>
        <v>Kultur opkrævet</v>
      </c>
      <c r="C176">
        <v>1</v>
      </c>
      <c r="F176" t="s">
        <v>24</v>
      </c>
    </row>
    <row r="177" spans="1:8" s="114" customFormat="1" ht="15" x14ac:dyDescent="0.3">
      <c r="A177" s="72">
        <f>Saldobalance!A210</f>
        <v>3920</v>
      </c>
      <c r="B177" s="72" t="str">
        <f>Saldobalance!B210</f>
        <v>Kultur Fælleshuset</v>
      </c>
      <c r="C177" s="114">
        <v>1</v>
      </c>
      <c r="F177" s="114" t="s">
        <v>24</v>
      </c>
    </row>
    <row r="178" spans="1:8" ht="15" x14ac:dyDescent="0.3">
      <c r="A178" s="72">
        <f>Saldobalance!A211</f>
        <v>3930</v>
      </c>
      <c r="B178" s="72" t="str">
        <f>Saldobalance!B211</f>
        <v>Kultur udlæg</v>
      </c>
      <c r="C178">
        <v>1</v>
      </c>
    </row>
    <row r="179" spans="1:8" ht="15" x14ac:dyDescent="0.3">
      <c r="A179" s="70">
        <v>3999</v>
      </c>
      <c r="B179" s="72" t="str">
        <f>Saldobalance!B212</f>
        <v>Deltagerbetalte arrangementer i alt</v>
      </c>
      <c r="C179">
        <v>3</v>
      </c>
      <c r="D179">
        <v>3900</v>
      </c>
    </row>
    <row r="180" spans="1:8" ht="15" x14ac:dyDescent="0.3">
      <c r="A180" s="70">
        <v>4900</v>
      </c>
      <c r="B180" s="72" t="str">
        <f>Saldobalance!B213</f>
        <v>Cigarkasserne i alt</v>
      </c>
      <c r="C180">
        <v>3</v>
      </c>
      <c r="D180">
        <v>3000</v>
      </c>
    </row>
    <row r="181" spans="1:8" ht="15" x14ac:dyDescent="0.3">
      <c r="A181" s="70">
        <v>4990</v>
      </c>
      <c r="B181" s="72" t="str">
        <f>Saldobalance!B214</f>
        <v>Samlet resultat</v>
      </c>
      <c r="C181">
        <v>3</v>
      </c>
      <c r="D181">
        <v>1000</v>
      </c>
    </row>
    <row r="182" spans="1:8" ht="15" x14ac:dyDescent="0.3">
      <c r="A182" s="70">
        <v>5000</v>
      </c>
      <c r="B182" s="72" t="str">
        <f>Saldobalance!B216</f>
        <v>AKTIVER</v>
      </c>
      <c r="C182">
        <v>5</v>
      </c>
    </row>
    <row r="183" spans="1:8" ht="15" x14ac:dyDescent="0.3">
      <c r="A183" s="70">
        <v>5010</v>
      </c>
      <c r="B183" s="72" t="str">
        <f>Saldobalance!B218</f>
        <v>Anlægsaktiver</v>
      </c>
      <c r="C183">
        <v>4</v>
      </c>
    </row>
    <row r="184" spans="1:8" ht="15" x14ac:dyDescent="0.3">
      <c r="A184" s="70">
        <v>5100</v>
      </c>
      <c r="B184" s="72" t="str">
        <f>Saldobalance!B220</f>
        <v>Bakkens Bank</v>
      </c>
      <c r="C184">
        <v>4</v>
      </c>
    </row>
    <row r="185" spans="1:8" ht="15" x14ac:dyDescent="0.3">
      <c r="A185" s="72">
        <f>Saldobalance!A221</f>
        <v>5101</v>
      </c>
      <c r="B185" s="72" t="str">
        <f>Saldobalance!B221</f>
        <v>Tørretumbler - 2021</v>
      </c>
      <c r="C185">
        <v>2</v>
      </c>
    </row>
    <row r="186" spans="1:8" ht="15" x14ac:dyDescent="0.3">
      <c r="A186" s="72">
        <f>Saldobalance!A222</f>
        <v>5102</v>
      </c>
      <c r="B186" s="72" t="str">
        <f>Saldobalance!B222</f>
        <v>Vaskemaskiner, 2011</v>
      </c>
      <c r="C186">
        <v>2</v>
      </c>
    </row>
    <row r="187" spans="1:8" ht="15.75" x14ac:dyDescent="0.3">
      <c r="A187" s="72">
        <f>Saldobalance!A223</f>
        <v>5104</v>
      </c>
      <c r="B187" s="72" t="str">
        <f>Saldobalance!B223</f>
        <v>Jordvarme - kompressorerne, 2018</v>
      </c>
      <c r="C187">
        <v>2</v>
      </c>
      <c r="H187" s="60"/>
    </row>
    <row r="188" spans="1:8" ht="15.75" x14ac:dyDescent="0.3">
      <c r="A188" s="72">
        <f>Saldobalance!A224</f>
        <v>5106</v>
      </c>
      <c r="B188" s="72" t="str">
        <f>Saldobalance!B224</f>
        <v>Ovn, 2020</v>
      </c>
      <c r="C188">
        <v>2</v>
      </c>
      <c r="H188" s="60"/>
    </row>
    <row r="189" spans="1:8" ht="15.75" x14ac:dyDescent="0.3">
      <c r="A189" s="72">
        <f>Saldobalance!A225</f>
        <v>5108</v>
      </c>
      <c r="B189" s="72" t="str">
        <f>Saldobalance!B225</f>
        <v>Ikke i brug</v>
      </c>
      <c r="C189">
        <v>2</v>
      </c>
      <c r="H189" s="60"/>
    </row>
    <row r="190" spans="1:8" s="143" customFormat="1" ht="15" x14ac:dyDescent="0.2">
      <c r="A190" s="142">
        <f>Saldobalance!A226</f>
        <v>5110</v>
      </c>
      <c r="B190" s="142" t="str">
        <f>Saldobalance!B226</f>
        <v>Restfinansiering af jordvarmeprojektet, 2018</v>
      </c>
      <c r="C190" s="143">
        <v>2</v>
      </c>
    </row>
    <row r="191" spans="1:8" ht="15" x14ac:dyDescent="0.3">
      <c r="A191" s="73">
        <v>5199</v>
      </c>
      <c r="B191" s="142" t="str">
        <f>Saldobalance!B227</f>
        <v>Bakkens Bank i alt</v>
      </c>
      <c r="C191">
        <v>3</v>
      </c>
      <c r="D191">
        <v>5100</v>
      </c>
    </row>
    <row r="192" spans="1:8" ht="15" x14ac:dyDescent="0.3">
      <c r="A192" s="70">
        <v>5200</v>
      </c>
      <c r="B192" s="72" t="str">
        <f>Saldobalance!B229</f>
        <v>Fastejendom</v>
      </c>
      <c r="C192">
        <v>4</v>
      </c>
    </row>
    <row r="193" spans="1:4" ht="15" x14ac:dyDescent="0.3">
      <c r="A193" s="72">
        <f>Saldobalance!A230</f>
        <v>5221</v>
      </c>
      <c r="B193" s="72" t="str">
        <f>Saldobalance!B230</f>
        <v>Landbrugsjord - 7 B</v>
      </c>
      <c r="C193">
        <v>2</v>
      </c>
    </row>
    <row r="194" spans="1:4" ht="15" x14ac:dyDescent="0.3">
      <c r="A194" s="72">
        <f>Saldobalance!A231</f>
        <v>5222</v>
      </c>
      <c r="B194" s="72" t="str">
        <f>Saldobalance!B231</f>
        <v>Ikke i brug</v>
      </c>
      <c r="C194">
        <v>2</v>
      </c>
    </row>
    <row r="195" spans="1:4" ht="15" x14ac:dyDescent="0.3">
      <c r="A195" s="72">
        <f>Saldobalance!A232</f>
        <v>5223</v>
      </c>
      <c r="B195" s="72" t="str">
        <f>Saldobalance!B232</f>
        <v>Fælleshus - 9 N</v>
      </c>
      <c r="C195">
        <v>2</v>
      </c>
    </row>
    <row r="196" spans="1:4" ht="15" x14ac:dyDescent="0.3">
      <c r="A196" s="70">
        <v>5299</v>
      </c>
      <c r="B196" s="74" t="s">
        <v>109</v>
      </c>
      <c r="C196">
        <v>3</v>
      </c>
      <c r="D196">
        <v>5200</v>
      </c>
    </row>
    <row r="197" spans="1:4" ht="15" x14ac:dyDescent="0.3">
      <c r="A197" s="72">
        <f>Saldobalance!A234</f>
        <v>5300</v>
      </c>
      <c r="B197" s="72" t="str">
        <f>Saldobalance!B234</f>
        <v>Ikke i brug</v>
      </c>
      <c r="C197">
        <v>2</v>
      </c>
    </row>
    <row r="198" spans="1:4" s="119" customFormat="1" ht="15" x14ac:dyDescent="0.3">
      <c r="A198" s="72">
        <f>Saldobalance!A235</f>
        <v>5310</v>
      </c>
      <c r="B198" s="72" t="str">
        <f>Saldobalance!B235</f>
        <v>Jordvarme - jordelen, 2018</v>
      </c>
      <c r="C198" s="119">
        <v>2</v>
      </c>
    </row>
    <row r="199" spans="1:4" ht="15" x14ac:dyDescent="0.3">
      <c r="A199" s="73">
        <v>5399</v>
      </c>
      <c r="B199" s="72" t="str">
        <f>Saldobalance!B236</f>
        <v>Anlægsaktiver i alt</v>
      </c>
      <c r="C199">
        <v>3</v>
      </c>
      <c r="D199">
        <v>5010</v>
      </c>
    </row>
    <row r="200" spans="1:4" ht="15" x14ac:dyDescent="0.3">
      <c r="A200" s="70">
        <v>5400</v>
      </c>
      <c r="B200" s="72" t="str">
        <f>Saldobalance!B238</f>
        <v>Omsætningsaktiver</v>
      </c>
      <c r="C200">
        <v>4</v>
      </c>
    </row>
    <row r="201" spans="1:4" ht="15" x14ac:dyDescent="0.3">
      <c r="A201" s="70">
        <v>5410</v>
      </c>
      <c r="B201" s="72" t="str">
        <f>Saldobalance!B240</f>
        <v>Tilgodehavender hos Bofæller</v>
      </c>
      <c r="C201">
        <v>4</v>
      </c>
    </row>
    <row r="202" spans="1:4" ht="15" x14ac:dyDescent="0.3">
      <c r="A202" s="72">
        <f>Saldobalance!A241</f>
        <v>5420</v>
      </c>
      <c r="B202" s="72" t="str">
        <f>Saldobalance!B241</f>
        <v>Tilgodehavender hos Bofæller</v>
      </c>
      <c r="C202">
        <v>2</v>
      </c>
    </row>
    <row r="203" spans="1:4" ht="15" x14ac:dyDescent="0.3">
      <c r="A203" s="70">
        <v>5499</v>
      </c>
      <c r="B203" s="72" t="str">
        <f>Saldobalance!B242</f>
        <v>Tilgodehavender fra Bofæller i alt</v>
      </c>
      <c r="C203">
        <v>3</v>
      </c>
      <c r="D203">
        <v>5410</v>
      </c>
    </row>
    <row r="204" spans="1:4" ht="15" x14ac:dyDescent="0.3">
      <c r="A204" s="70">
        <v>5500</v>
      </c>
      <c r="B204" s="72" t="str">
        <f>Saldobalance!B244</f>
        <v>Øvrige tilgodehavender</v>
      </c>
      <c r="C204">
        <v>4</v>
      </c>
    </row>
    <row r="205" spans="1:4" ht="15" x14ac:dyDescent="0.3">
      <c r="A205" s="72">
        <f>Saldobalance!A245</f>
        <v>5519</v>
      </c>
      <c r="B205" s="72" t="str">
        <f>Saldobalance!B245</f>
        <v>Forudbetalte poster</v>
      </c>
      <c r="C205">
        <v>2</v>
      </c>
    </row>
    <row r="206" spans="1:4" ht="15" x14ac:dyDescent="0.3">
      <c r="A206" s="72">
        <f>Saldobalance!A246</f>
        <v>5520</v>
      </c>
      <c r="B206" s="72" t="str">
        <f>Saldobalance!B246</f>
        <v>Ikke i brug</v>
      </c>
      <c r="C206">
        <v>2</v>
      </c>
    </row>
    <row r="207" spans="1:4" ht="15" x14ac:dyDescent="0.3">
      <c r="A207" s="72">
        <f>Saldobalance!A247</f>
        <v>5530</v>
      </c>
      <c r="B207" s="72" t="str">
        <f>Saldobalance!B247</f>
        <v>Ikke i brug</v>
      </c>
      <c r="C207">
        <v>2</v>
      </c>
    </row>
    <row r="208" spans="1:4" ht="15" x14ac:dyDescent="0.3">
      <c r="A208" s="72">
        <f>Saldobalance!A248</f>
        <v>5540</v>
      </c>
      <c r="B208" s="72" t="str">
        <f>Saldobalance!B248</f>
        <v>Ikke i brug</v>
      </c>
      <c r="C208">
        <v>2</v>
      </c>
    </row>
    <row r="209" spans="1:4" ht="15" x14ac:dyDescent="0.3">
      <c r="A209" s="72">
        <f>Saldobalance!A249</f>
        <v>5545</v>
      </c>
      <c r="B209" s="72" t="str">
        <f>Saldobalance!B249</f>
        <v>Ikke i brug</v>
      </c>
      <c r="C209">
        <v>2</v>
      </c>
    </row>
    <row r="210" spans="1:4" ht="15" x14ac:dyDescent="0.3">
      <c r="A210" s="72">
        <f>Saldobalance!A250</f>
        <v>5550</v>
      </c>
      <c r="B210" s="72" t="str">
        <f>Saldobalance!B250</f>
        <v>Ikke i brug</v>
      </c>
      <c r="C210">
        <v>2</v>
      </c>
    </row>
    <row r="211" spans="1:4" ht="15" x14ac:dyDescent="0.3">
      <c r="A211" s="72">
        <f>Saldobalance!A251</f>
        <v>5560</v>
      </c>
      <c r="B211" s="72" t="str">
        <f>Saldobalance!B251</f>
        <v>Ikke i brug</v>
      </c>
      <c r="C211">
        <v>2</v>
      </c>
    </row>
    <row r="212" spans="1:4" ht="15" x14ac:dyDescent="0.3">
      <c r="A212" s="72">
        <f>Saldobalance!A252</f>
        <v>5570</v>
      </c>
      <c r="B212" s="72" t="str">
        <f>Saldobalance!B252</f>
        <v>Fadøl - lagerbeholdning</v>
      </c>
      <c r="C212">
        <v>2</v>
      </c>
    </row>
    <row r="213" spans="1:4" ht="15" x14ac:dyDescent="0.3">
      <c r="A213" s="72">
        <f>Saldobalance!A253</f>
        <v>5580</v>
      </c>
      <c r="B213" s="72" t="str">
        <f>Saldobalance!B253</f>
        <v>Fåreprodukter- lagerbeholdning</v>
      </c>
      <c r="C213">
        <v>2</v>
      </c>
    </row>
    <row r="214" spans="1:4" s="119" customFormat="1" ht="15" x14ac:dyDescent="0.3">
      <c r="A214" s="72">
        <f>Saldobalance!A254</f>
        <v>5582</v>
      </c>
      <c r="B214" s="72" t="str">
        <f>Saldobalance!B254</f>
        <v>Hegn og hus/får</v>
      </c>
      <c r="C214" s="119">
        <v>2</v>
      </c>
    </row>
    <row r="215" spans="1:4" s="141" customFormat="1" ht="15" x14ac:dyDescent="0.3">
      <c r="A215" s="72">
        <f>Saldobalance!A255</f>
        <v>5584</v>
      </c>
      <c r="B215" s="72" t="str">
        <f>Saldobalance!B255</f>
        <v>Besætning/får</v>
      </c>
      <c r="C215" s="141">
        <v>2</v>
      </c>
    </row>
    <row r="216" spans="1:4" s="141" customFormat="1" ht="15" x14ac:dyDescent="0.3">
      <c r="A216" s="72">
        <f>Saldobalance!A256</f>
        <v>5590</v>
      </c>
      <c r="B216" s="72" t="str">
        <f>Saldobalance!B256</f>
        <v>Tilgodehavender - øvrige debitorer</v>
      </c>
      <c r="C216" s="141">
        <v>2</v>
      </c>
    </row>
    <row r="217" spans="1:4" ht="15" x14ac:dyDescent="0.3">
      <c r="A217" s="70">
        <v>5599</v>
      </c>
      <c r="B217" s="72" t="str">
        <f>Saldobalance!B257</f>
        <v>Øvrige tilgodehavender i alt</v>
      </c>
      <c r="C217">
        <v>3</v>
      </c>
      <c r="D217">
        <v>5500</v>
      </c>
    </row>
    <row r="218" spans="1:4" ht="15" x14ac:dyDescent="0.3">
      <c r="A218" s="70">
        <v>5900</v>
      </c>
      <c r="B218" s="72" t="str">
        <f>Saldobalance!B259</f>
        <v>Likvidebeholdninger</v>
      </c>
      <c r="C218">
        <v>4</v>
      </c>
    </row>
    <row r="219" spans="1:4" ht="15" x14ac:dyDescent="0.3">
      <c r="A219" s="72">
        <f>Saldobalance!A260</f>
        <v>5910</v>
      </c>
      <c r="B219" s="72" t="str">
        <f>Saldobalance!B260</f>
        <v>Kontant - ikke i brug</v>
      </c>
      <c r="C219">
        <v>2</v>
      </c>
    </row>
    <row r="220" spans="1:4" ht="15" x14ac:dyDescent="0.3">
      <c r="A220" s="72">
        <f>Saldobalance!A261</f>
        <v>5920</v>
      </c>
      <c r="B220" s="72" t="str">
        <f>Saldobalance!B261</f>
        <v>Ikke i brug</v>
      </c>
      <c r="C220">
        <v>2</v>
      </c>
    </row>
    <row r="221" spans="1:4" ht="15" x14ac:dyDescent="0.3">
      <c r="A221" s="72">
        <f>Saldobalance!A262</f>
        <v>5930</v>
      </c>
      <c r="B221" s="72" t="str">
        <f>Saldobalance!B262</f>
        <v>Ikke i brug</v>
      </c>
      <c r="C221">
        <v>2</v>
      </c>
    </row>
    <row r="222" spans="1:4" ht="15" x14ac:dyDescent="0.3">
      <c r="A222" s="72">
        <f>Saldobalance!A263</f>
        <v>5940</v>
      </c>
      <c r="B222" s="72" t="str">
        <f>Saldobalance!B263</f>
        <v>Nordea - 3495871427</v>
      </c>
      <c r="C222">
        <v>2</v>
      </c>
    </row>
    <row r="223" spans="1:4" ht="15" x14ac:dyDescent="0.3">
      <c r="A223" s="70">
        <v>5960</v>
      </c>
      <c r="B223" s="72" t="str">
        <f>Saldobalance!B264</f>
        <v>Likvidebeholdninger i alt</v>
      </c>
      <c r="C223">
        <v>3</v>
      </c>
      <c r="D223">
        <v>5900</v>
      </c>
    </row>
    <row r="224" spans="1:4" ht="15" x14ac:dyDescent="0.3">
      <c r="A224" s="70">
        <v>5990</v>
      </c>
      <c r="B224" s="72" t="str">
        <f>Saldobalance!B265</f>
        <v>AKTIVER I ALT</v>
      </c>
      <c r="C224">
        <v>3</v>
      </c>
      <c r="D224">
        <v>5400</v>
      </c>
    </row>
    <row r="225" spans="1:6" ht="15" x14ac:dyDescent="0.3">
      <c r="A225" s="70">
        <v>5998</v>
      </c>
      <c r="B225" s="72" t="str">
        <f>Saldobalance!B266</f>
        <v>Omsætningsaktiver i alt</v>
      </c>
      <c r="C225">
        <v>3</v>
      </c>
      <c r="D225">
        <v>5000</v>
      </c>
    </row>
    <row r="226" spans="1:6" ht="15" x14ac:dyDescent="0.3">
      <c r="A226" s="70">
        <v>6000</v>
      </c>
      <c r="B226" s="72" t="str">
        <f>Saldobalance!B268</f>
        <v>PASSIVER</v>
      </c>
      <c r="C226">
        <v>5</v>
      </c>
    </row>
    <row r="227" spans="1:6" ht="15" x14ac:dyDescent="0.3">
      <c r="A227" s="70">
        <v>6100</v>
      </c>
      <c r="B227" s="72" t="str">
        <f>Saldobalance!B270</f>
        <v>EGENKAPITAL</v>
      </c>
      <c r="C227">
        <v>4</v>
      </c>
    </row>
    <row r="228" spans="1:6" ht="15" x14ac:dyDescent="0.3">
      <c r="A228" s="72">
        <f>Saldobalance!A271</f>
        <v>6110</v>
      </c>
      <c r="B228" s="72" t="str">
        <f>Saldobalance!B271</f>
        <v>Egenkapital primo</v>
      </c>
      <c r="C228">
        <v>2</v>
      </c>
    </row>
    <row r="229" spans="1:6" ht="15" x14ac:dyDescent="0.3">
      <c r="A229" s="70">
        <v>6112</v>
      </c>
      <c r="B229" s="72" t="str">
        <f>Saldobalance!B272</f>
        <v>Periodens resultat</v>
      </c>
      <c r="C229">
        <v>6</v>
      </c>
      <c r="D229" t="s">
        <v>126</v>
      </c>
    </row>
    <row r="230" spans="1:6" ht="15" x14ac:dyDescent="0.3">
      <c r="A230" s="72">
        <f>Saldobalance!A273</f>
        <v>6130</v>
      </c>
      <c r="B230" s="72" t="str">
        <f>Saldobalance!B273</f>
        <v>Årets reguleringer af egenkapitalen</v>
      </c>
      <c r="C230">
        <v>2</v>
      </c>
    </row>
    <row r="231" spans="1:6" ht="15" x14ac:dyDescent="0.3">
      <c r="A231" s="70">
        <v>6199</v>
      </c>
      <c r="B231" s="72" t="str">
        <f>Saldobalance!B274</f>
        <v>EGENKAPITAL I ALT</v>
      </c>
      <c r="C231">
        <v>6</v>
      </c>
      <c r="D231" t="s">
        <v>128</v>
      </c>
    </row>
    <row r="232" spans="1:6" ht="15" x14ac:dyDescent="0.3">
      <c r="A232" s="70">
        <v>6300</v>
      </c>
      <c r="B232" s="72" t="str">
        <f>Saldobalance!B276</f>
        <v>Hensættelser</v>
      </c>
      <c r="C232">
        <v>4</v>
      </c>
    </row>
    <row r="233" spans="1:6" ht="15" x14ac:dyDescent="0.3">
      <c r="A233" s="70">
        <v>6310</v>
      </c>
      <c r="B233" s="72" t="str">
        <f>Saldobalance!B278</f>
        <v>5-årsplanen</v>
      </c>
      <c r="C233">
        <v>4</v>
      </c>
    </row>
    <row r="234" spans="1:6" s="141" customFormat="1" ht="15" x14ac:dyDescent="0.3">
      <c r="A234" s="70">
        <v>6310</v>
      </c>
      <c r="B234" s="72" t="str">
        <f>Saldobalance!B280</f>
        <v>5-årsplanen forbrugt</v>
      </c>
      <c r="C234" s="141">
        <v>4</v>
      </c>
    </row>
    <row r="235" spans="1:6" ht="15" x14ac:dyDescent="0.3">
      <c r="A235" s="72">
        <f>Saldobalance!A281</f>
        <v>6314</v>
      </c>
      <c r="B235" s="72" t="str">
        <f>Saldobalance!B281</f>
        <v>Asfalt</v>
      </c>
      <c r="C235">
        <v>1</v>
      </c>
      <c r="F235" t="s">
        <v>86</v>
      </c>
    </row>
    <row r="236" spans="1:6" ht="15" x14ac:dyDescent="0.3">
      <c r="A236" s="72">
        <f>Saldobalance!A282</f>
        <v>6315</v>
      </c>
      <c r="B236" s="72" t="str">
        <f>Saldobalance!B282</f>
        <v>Fælleshustag</v>
      </c>
      <c r="C236">
        <v>1</v>
      </c>
      <c r="F236" t="s">
        <v>86</v>
      </c>
    </row>
    <row r="237" spans="1:6" ht="15" x14ac:dyDescent="0.3">
      <c r="A237" s="72">
        <f>Saldobalance!A283</f>
        <v>6316</v>
      </c>
      <c r="B237" s="72" t="str">
        <f>Saldobalance!B283</f>
        <v>EL-biler</v>
      </c>
      <c r="C237">
        <v>1</v>
      </c>
      <c r="F237" s="100" t="s">
        <v>86</v>
      </c>
    </row>
    <row r="238" spans="1:6" ht="15" x14ac:dyDescent="0.3">
      <c r="A238" s="72">
        <f>Saldobalance!A284</f>
        <v>6317</v>
      </c>
      <c r="B238" s="72" t="str">
        <f>Saldobalance!B284</f>
        <v>Ny EL-tavle</v>
      </c>
      <c r="C238">
        <v>1</v>
      </c>
      <c r="F238" s="100" t="s">
        <v>86</v>
      </c>
    </row>
    <row r="239" spans="1:6" ht="15" x14ac:dyDescent="0.3">
      <c r="A239" s="72">
        <f>Saldobalance!A285</f>
        <v>6318</v>
      </c>
      <c r="B239" s="72" t="str">
        <f>Saldobalance!B285</f>
        <v>Svællemuren</v>
      </c>
      <c r="C239">
        <v>1</v>
      </c>
      <c r="F239" s="100" t="s">
        <v>86</v>
      </c>
    </row>
    <row r="240" spans="1:6" ht="15" x14ac:dyDescent="0.3">
      <c r="A240" s="72">
        <f>Saldobalance!A286</f>
        <v>6319</v>
      </c>
      <c r="B240" s="72" t="str">
        <f>Saldobalance!B286</f>
        <v>Projekt 6 - ikke brugt</v>
      </c>
      <c r="C240">
        <v>1</v>
      </c>
      <c r="F240" s="100" t="s">
        <v>86</v>
      </c>
    </row>
    <row r="241" spans="1:6" ht="15" x14ac:dyDescent="0.3">
      <c r="A241" s="72">
        <f>Saldobalance!A287</f>
        <v>6320</v>
      </c>
      <c r="B241" s="72" t="str">
        <f>Saldobalance!B287</f>
        <v>Projekt 7 - ikke brugt</v>
      </c>
      <c r="C241">
        <v>1</v>
      </c>
      <c r="F241" s="100" t="s">
        <v>86</v>
      </c>
    </row>
    <row r="242" spans="1:6" ht="15" x14ac:dyDescent="0.3">
      <c r="A242" s="72">
        <f>Saldobalance!A288</f>
        <v>6321</v>
      </c>
      <c r="B242" s="72" t="str">
        <f>Saldobalance!B288</f>
        <v>Projekt 8 - ikke brugt</v>
      </c>
      <c r="C242">
        <v>1</v>
      </c>
      <c r="F242" s="100" t="s">
        <v>86</v>
      </c>
    </row>
    <row r="243" spans="1:6" ht="15" x14ac:dyDescent="0.3">
      <c r="A243" s="72">
        <f>Saldobalance!A289</f>
        <v>6322</v>
      </c>
      <c r="B243" s="72" t="str">
        <f>Saldobalance!B289</f>
        <v>Projekt 9 - ikke brugt</v>
      </c>
      <c r="C243">
        <v>1</v>
      </c>
      <c r="F243" s="100" t="s">
        <v>86</v>
      </c>
    </row>
    <row r="244" spans="1:6" ht="15" x14ac:dyDescent="0.3">
      <c r="A244" s="72">
        <f>Saldobalance!A290</f>
        <v>6323</v>
      </c>
      <c r="B244" s="72" t="str">
        <f>Saldobalance!B290</f>
        <v>Projekt 10 - ikke brugt</v>
      </c>
      <c r="C244">
        <v>1</v>
      </c>
      <c r="F244" s="100" t="s">
        <v>86</v>
      </c>
    </row>
    <row r="245" spans="1:6" ht="15" x14ac:dyDescent="0.3">
      <c r="A245" s="72">
        <f>Saldobalance!A291</f>
        <v>6324</v>
      </c>
      <c r="B245" s="72" t="str">
        <f>Saldobalance!B291</f>
        <v>Projekt 11 - ikke brugt</v>
      </c>
      <c r="C245">
        <v>1</v>
      </c>
      <c r="F245" s="100" t="s">
        <v>86</v>
      </c>
    </row>
    <row r="246" spans="1:6" ht="15" x14ac:dyDescent="0.3">
      <c r="A246" s="72">
        <f>Saldobalance!A292</f>
        <v>6325</v>
      </c>
      <c r="B246" s="72" t="str">
        <f>Saldobalance!B292</f>
        <v>Projekt 12 - ikke brugt</v>
      </c>
      <c r="C246">
        <v>1</v>
      </c>
      <c r="F246" s="100" t="s">
        <v>86</v>
      </c>
    </row>
    <row r="247" spans="1:6" ht="15" x14ac:dyDescent="0.3">
      <c r="A247" s="72">
        <f>Saldobalance!A294</f>
        <v>6327</v>
      </c>
      <c r="B247" s="72" t="str">
        <f>Saldobalance!B294</f>
        <v>Ikke i brug - tidligere mellemregninger</v>
      </c>
      <c r="C247">
        <v>1</v>
      </c>
      <c r="F247" s="100" t="s">
        <v>24</v>
      </c>
    </row>
    <row r="248" spans="1:6" ht="15" x14ac:dyDescent="0.3">
      <c r="A248" s="72">
        <f>Saldobalance!A295</f>
        <v>6328</v>
      </c>
      <c r="B248" s="72" t="str">
        <f>Saldobalance!B295</f>
        <v>5-årsplanen opsparet</v>
      </c>
      <c r="C248">
        <v>2</v>
      </c>
    </row>
    <row r="249" spans="1:6" ht="15" x14ac:dyDescent="0.3">
      <c r="A249" s="70">
        <v>6329</v>
      </c>
      <c r="B249" s="72" t="str">
        <f>Saldobalance!B296</f>
        <v>5-årsplanen i alt</v>
      </c>
      <c r="C249">
        <v>3</v>
      </c>
      <c r="D249">
        <v>6310</v>
      </c>
      <c r="F249" t="s">
        <v>86</v>
      </c>
    </row>
    <row r="250" spans="1:6" ht="15" x14ac:dyDescent="0.3">
      <c r="A250" s="72">
        <f>Saldobalance!A297</f>
        <v>6340</v>
      </c>
      <c r="B250" s="72" t="str">
        <f>Saldobalance!B297</f>
        <v>Øvrig opsparing</v>
      </c>
      <c r="C250">
        <v>2</v>
      </c>
    </row>
    <row r="251" spans="1:6" ht="15" x14ac:dyDescent="0.3">
      <c r="A251" s="72">
        <f>Saldobalance!A298</f>
        <v>6345</v>
      </c>
      <c r="B251" s="72" t="str">
        <f>Saldobalance!B298</f>
        <v>Ikke i brug</v>
      </c>
      <c r="C251">
        <v>2</v>
      </c>
    </row>
    <row r="252" spans="1:6" ht="15" x14ac:dyDescent="0.3">
      <c r="A252" s="72">
        <f>Saldobalance!A299</f>
        <v>6350</v>
      </c>
      <c r="B252" s="72" t="str">
        <f>Saldobalance!B299</f>
        <v>Vejvedligeholdelse - Dageløkke Ege</v>
      </c>
      <c r="C252">
        <v>2</v>
      </c>
    </row>
    <row r="253" spans="1:6" ht="15" x14ac:dyDescent="0.3">
      <c r="A253" s="72">
        <f>Saldobalance!A300</f>
        <v>6360</v>
      </c>
      <c r="B253" s="72" t="str">
        <f>Saldobalance!B300</f>
        <v>Ikke i brug</v>
      </c>
      <c r="C253">
        <v>2</v>
      </c>
    </row>
    <row r="254" spans="1:6" ht="15" x14ac:dyDescent="0.3">
      <c r="A254" s="72">
        <f>Saldobalance!A301</f>
        <v>6380</v>
      </c>
      <c r="B254" s="72" t="str">
        <f>Saldobalance!B301</f>
        <v>Øvrige hensættelser</v>
      </c>
      <c r="C254">
        <v>2</v>
      </c>
    </row>
    <row r="255" spans="1:6" ht="15" x14ac:dyDescent="0.3">
      <c r="A255" s="70">
        <v>6399</v>
      </c>
      <c r="B255" s="72" t="str">
        <f>Saldobalance!B302</f>
        <v>Hensættelser i alt</v>
      </c>
      <c r="C255">
        <v>3</v>
      </c>
      <c r="D255">
        <v>6300</v>
      </c>
    </row>
    <row r="256" spans="1:6" ht="15" x14ac:dyDescent="0.3">
      <c r="A256" s="70">
        <v>6600</v>
      </c>
      <c r="B256" s="72" t="str">
        <f>Saldobalance!B304</f>
        <v>Gæld</v>
      </c>
      <c r="C256">
        <v>4</v>
      </c>
    </row>
    <row r="257" spans="1:4" ht="15" x14ac:dyDescent="0.3">
      <c r="A257" s="70">
        <v>6605</v>
      </c>
      <c r="B257" s="72" t="str">
        <f>Saldobalance!B306</f>
        <v>Gæld til banker</v>
      </c>
      <c r="C257">
        <v>4</v>
      </c>
    </row>
    <row r="258" spans="1:4" ht="15" x14ac:dyDescent="0.3">
      <c r="A258" s="72">
        <f>Saldobalance!A307</f>
        <v>6620</v>
      </c>
      <c r="B258" s="72" t="str">
        <f>Saldobalance!B307</f>
        <v>Ikke i brug</v>
      </c>
      <c r="C258">
        <v>2</v>
      </c>
    </row>
    <row r="259" spans="1:4" ht="15" x14ac:dyDescent="0.3">
      <c r="A259" s="72">
        <f>Saldobalance!A308</f>
        <v>6630</v>
      </c>
      <c r="B259" s="72" t="str">
        <f>Saldobalance!B308</f>
        <v>Ikke i brug</v>
      </c>
      <c r="C259">
        <v>2</v>
      </c>
    </row>
    <row r="260" spans="1:4" ht="15" x14ac:dyDescent="0.3">
      <c r="A260" s="72">
        <f>Saldobalance!A309</f>
        <v>6640</v>
      </c>
      <c r="B260" s="72" t="str">
        <f>Saldobalance!B309</f>
        <v>Ikke i brug</v>
      </c>
      <c r="C260">
        <v>2</v>
      </c>
    </row>
    <row r="261" spans="1:4" ht="15" x14ac:dyDescent="0.3">
      <c r="A261" s="72">
        <f>Saldobalance!A310</f>
        <v>6650</v>
      </c>
      <c r="B261" s="72" t="str">
        <f>Saldobalance!B310</f>
        <v>Ikke i brug</v>
      </c>
      <c r="C261">
        <v>2</v>
      </c>
    </row>
    <row r="262" spans="1:4" ht="15" x14ac:dyDescent="0.3">
      <c r="A262" s="72">
        <f>Saldobalance!A311</f>
        <v>6660</v>
      </c>
      <c r="B262" s="72" t="str">
        <f>Saldobalance!B311</f>
        <v>Nordea Prioritet</v>
      </c>
      <c r="C262">
        <v>2</v>
      </c>
    </row>
    <row r="263" spans="1:4" ht="15" x14ac:dyDescent="0.3">
      <c r="A263" s="70">
        <v>6799</v>
      </c>
      <c r="B263" s="72" t="str">
        <f>Saldobalance!B312</f>
        <v>Gæld til banker i alt</v>
      </c>
      <c r="C263">
        <v>3</v>
      </c>
      <c r="D263">
        <v>6605</v>
      </c>
    </row>
    <row r="264" spans="1:4" ht="15" x14ac:dyDescent="0.3">
      <c r="A264" s="70">
        <v>6900</v>
      </c>
      <c r="B264" s="72" t="str">
        <f>Saldobalance!B314</f>
        <v>Øvrig gæld</v>
      </c>
      <c r="C264">
        <v>4</v>
      </c>
    </row>
    <row r="265" spans="1:4" ht="15" x14ac:dyDescent="0.3">
      <c r="A265" s="72">
        <f>Saldobalance!A315</f>
        <v>6905</v>
      </c>
      <c r="B265" s="72" t="str">
        <f>Saldobalance!B315</f>
        <v>Gæld til kreditorer</v>
      </c>
      <c r="C265">
        <v>2</v>
      </c>
    </row>
    <row r="266" spans="1:4" ht="15" x14ac:dyDescent="0.3">
      <c r="A266" s="72">
        <f>Saldobalance!A316</f>
        <v>6910</v>
      </c>
      <c r="B266" s="72" t="str">
        <f>Saldobalance!B316</f>
        <v>Skyldige omkostninger</v>
      </c>
      <c r="C266">
        <v>2</v>
      </c>
    </row>
    <row r="267" spans="1:4" ht="15" x14ac:dyDescent="0.3">
      <c r="A267" s="72">
        <f>Saldobalance!A317</f>
        <v>6920</v>
      </c>
      <c r="B267" s="72" t="str">
        <f>Saldobalance!B317</f>
        <v>Ikke i brug</v>
      </c>
      <c r="C267">
        <v>2</v>
      </c>
    </row>
    <row r="268" spans="1:4" ht="15" x14ac:dyDescent="0.3">
      <c r="A268" s="70">
        <v>6999</v>
      </c>
      <c r="B268" s="72" t="str">
        <f>Saldobalance!B318</f>
        <v>Øvrig gæld i alt</v>
      </c>
      <c r="C268">
        <v>3</v>
      </c>
      <c r="D268">
        <v>6900</v>
      </c>
    </row>
    <row r="269" spans="1:4" ht="15" x14ac:dyDescent="0.3">
      <c r="A269" s="70">
        <v>7999</v>
      </c>
      <c r="B269" s="72" t="str">
        <f>Saldobalance!B319</f>
        <v>Gæld i alt</v>
      </c>
      <c r="C269">
        <v>3</v>
      </c>
      <c r="D269">
        <v>6600</v>
      </c>
    </row>
    <row r="270" spans="1:4" ht="15" x14ac:dyDescent="0.3">
      <c r="A270" s="70">
        <v>8999</v>
      </c>
      <c r="B270" s="72" t="str">
        <f>Saldobalance!B320</f>
        <v>PASSIVER I ALT</v>
      </c>
      <c r="C270">
        <v>6</v>
      </c>
      <c r="D270" t="s">
        <v>139</v>
      </c>
    </row>
    <row r="271" spans="1:4" ht="15" x14ac:dyDescent="0.3">
      <c r="A271" s="72">
        <f>Saldobalance!A321</f>
        <v>9900</v>
      </c>
      <c r="B271" s="72" t="str">
        <f>Saldobalance!B321</f>
        <v>Analyse/fejlkonto</v>
      </c>
      <c r="C271">
        <v>2</v>
      </c>
    </row>
    <row r="272" spans="1:4" ht="15" x14ac:dyDescent="0.3">
      <c r="A272" s="70">
        <v>9990</v>
      </c>
      <c r="B272" s="70" t="s">
        <v>141</v>
      </c>
      <c r="C272">
        <v>3</v>
      </c>
      <c r="D272">
        <v>1000</v>
      </c>
    </row>
  </sheetData>
  <phoneticPr fontId="1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EAA6-083A-4FA1-973B-BFE46CDB6C45}">
  <dimension ref="A1:F21"/>
  <sheetViews>
    <sheetView workbookViewId="0">
      <selection activeCell="B19" sqref="B19"/>
    </sheetView>
  </sheetViews>
  <sheetFormatPr defaultRowHeight="12.75" x14ac:dyDescent="0.2"/>
  <cols>
    <col min="1" max="1" width="18" style="151" customWidth="1"/>
    <col min="2" max="4" width="18" style="20" customWidth="1"/>
    <col min="5" max="16384" width="9.140625" style="151"/>
  </cols>
  <sheetData>
    <row r="1" spans="1:6" x14ac:dyDescent="0.2">
      <c r="A1" s="151" t="s">
        <v>288</v>
      </c>
      <c r="B1" s="20" t="s">
        <v>323</v>
      </c>
      <c r="C1" s="20" t="s">
        <v>324</v>
      </c>
      <c r="D1" s="20" t="s">
        <v>325</v>
      </c>
    </row>
    <row r="2" spans="1:6" x14ac:dyDescent="0.2">
      <c r="A2" s="151">
        <v>2021</v>
      </c>
    </row>
    <row r="3" spans="1:6" x14ac:dyDescent="0.2">
      <c r="A3" s="151" t="s">
        <v>326</v>
      </c>
      <c r="B3" s="20">
        <v>1123135</v>
      </c>
      <c r="C3" s="20">
        <v>1123135</v>
      </c>
      <c r="D3" s="20">
        <f t="shared" ref="D3:D7" si="0">B3-C3</f>
        <v>0</v>
      </c>
    </row>
    <row r="4" spans="1:6" x14ac:dyDescent="0.2">
      <c r="A4" s="151" t="s">
        <v>327</v>
      </c>
      <c r="B4" s="20">
        <v>1255541</v>
      </c>
      <c r="C4" s="20">
        <v>1255541</v>
      </c>
      <c r="D4" s="20">
        <f t="shared" si="0"/>
        <v>0</v>
      </c>
    </row>
    <row r="5" spans="1:6" x14ac:dyDescent="0.2">
      <c r="A5" s="151" t="s">
        <v>328</v>
      </c>
      <c r="B5" s="20">
        <v>1066578</v>
      </c>
      <c r="C5" s="20">
        <v>1066578</v>
      </c>
      <c r="D5" s="20">
        <f t="shared" si="0"/>
        <v>0</v>
      </c>
    </row>
    <row r="6" spans="1:6" x14ac:dyDescent="0.2">
      <c r="A6" s="151" t="s">
        <v>329</v>
      </c>
      <c r="B6" s="20">
        <v>1085722</v>
      </c>
      <c r="C6" s="20">
        <v>1085722</v>
      </c>
      <c r="D6" s="20">
        <f t="shared" si="0"/>
        <v>0</v>
      </c>
    </row>
    <row r="7" spans="1:6" x14ac:dyDescent="0.2">
      <c r="A7" s="151" t="s">
        <v>330</v>
      </c>
      <c r="B7" s="20">
        <v>1072241</v>
      </c>
      <c r="C7" s="20">
        <v>1072241</v>
      </c>
      <c r="D7" s="20">
        <f t="shared" si="0"/>
        <v>0</v>
      </c>
    </row>
    <row r="8" spans="1:6" x14ac:dyDescent="0.2">
      <c r="A8" s="151" t="s">
        <v>331</v>
      </c>
      <c r="B8" s="20">
        <v>1174256</v>
      </c>
      <c r="C8" s="20">
        <v>1175733.6399999999</v>
      </c>
      <c r="D8" s="20">
        <f>B8-C8</f>
        <v>-1477.6399999998976</v>
      </c>
      <c r="F8" s="100" t="s">
        <v>332</v>
      </c>
    </row>
    <row r="9" spans="1:6" x14ac:dyDescent="0.2">
      <c r="A9" s="151">
        <v>2022</v>
      </c>
    </row>
    <row r="10" spans="1:6" x14ac:dyDescent="0.2">
      <c r="A10" s="151" t="s">
        <v>333</v>
      </c>
      <c r="B10" s="20">
        <v>1098494</v>
      </c>
      <c r="C10" s="20">
        <v>1099972.42</v>
      </c>
      <c r="D10" s="20">
        <f t="shared" ref="D10:D21" si="1">B10-C10</f>
        <v>-1478.4199999999255</v>
      </c>
    </row>
    <row r="11" spans="1:6" x14ac:dyDescent="0.2">
      <c r="A11" s="151" t="s">
        <v>334</v>
      </c>
      <c r="B11" s="20">
        <v>1214432</v>
      </c>
      <c r="C11" s="20">
        <v>1215910.3799999999</v>
      </c>
      <c r="D11" s="20">
        <f t="shared" si="1"/>
        <v>-1478.3799999998882</v>
      </c>
    </row>
    <row r="12" spans="1:6" x14ac:dyDescent="0.2">
      <c r="A12" s="151" t="s">
        <v>335</v>
      </c>
      <c r="B12" s="20">
        <v>1031279</v>
      </c>
      <c r="C12" s="20">
        <v>1032757</v>
      </c>
      <c r="D12" s="20">
        <f t="shared" si="1"/>
        <v>-1478</v>
      </c>
    </row>
    <row r="13" spans="1:6" x14ac:dyDescent="0.2">
      <c r="A13" s="151" t="s">
        <v>336</v>
      </c>
      <c r="B13" s="20">
        <v>1148475</v>
      </c>
      <c r="C13" s="20">
        <v>1149952</v>
      </c>
      <c r="D13" s="20">
        <f t="shared" si="1"/>
        <v>-1477</v>
      </c>
    </row>
    <row r="14" spans="1:6" x14ac:dyDescent="0.2">
      <c r="A14" s="151" t="s">
        <v>337</v>
      </c>
      <c r="B14" s="20">
        <v>1142218</v>
      </c>
      <c r="C14" s="20">
        <v>1143695</v>
      </c>
      <c r="D14" s="20">
        <f t="shared" si="1"/>
        <v>-1477</v>
      </c>
    </row>
    <row r="15" spans="1:6" x14ac:dyDescent="0.2">
      <c r="A15" s="151" t="s">
        <v>338</v>
      </c>
      <c r="B15" s="20">
        <v>1310733</v>
      </c>
      <c r="C15" s="20">
        <v>1312211.05</v>
      </c>
      <c r="D15" s="20">
        <f t="shared" si="1"/>
        <v>-1478.0500000000466</v>
      </c>
    </row>
    <row r="16" spans="1:6" x14ac:dyDescent="0.2">
      <c r="A16" s="151" t="s">
        <v>326</v>
      </c>
      <c r="B16" s="20">
        <v>1299572</v>
      </c>
      <c r="C16" s="20">
        <v>1316818.98</v>
      </c>
      <c r="D16" s="20">
        <f t="shared" si="1"/>
        <v>-17246.979999999981</v>
      </c>
    </row>
    <row r="17" spans="1:6" x14ac:dyDescent="0.2">
      <c r="A17" s="151" t="s">
        <v>339</v>
      </c>
      <c r="B17" s="20">
        <v>1467380</v>
      </c>
      <c r="C17" s="20">
        <v>1468858.26</v>
      </c>
      <c r="D17" s="20">
        <f t="shared" si="1"/>
        <v>-1478.2600000000093</v>
      </c>
    </row>
    <row r="18" spans="1:6" x14ac:dyDescent="0.2">
      <c r="A18" s="151" t="s">
        <v>340</v>
      </c>
      <c r="B18" s="20">
        <v>1335024</v>
      </c>
      <c r="C18" s="20">
        <v>1336502.49</v>
      </c>
      <c r="D18" s="20">
        <f t="shared" si="1"/>
        <v>-1478.4899999999907</v>
      </c>
    </row>
    <row r="19" spans="1:6" x14ac:dyDescent="0.2">
      <c r="A19" s="151" t="s">
        <v>341</v>
      </c>
      <c r="B19" s="20">
        <v>1485660</v>
      </c>
      <c r="C19" s="20">
        <v>1486809.27</v>
      </c>
      <c r="D19" s="20">
        <f t="shared" si="1"/>
        <v>-1149.2700000000186</v>
      </c>
      <c r="F19" s="151" t="s">
        <v>344</v>
      </c>
    </row>
    <row r="20" spans="1:6" x14ac:dyDescent="0.2">
      <c r="A20" s="151" t="s">
        <v>342</v>
      </c>
      <c r="B20" s="20">
        <v>1503743</v>
      </c>
      <c r="C20" s="20">
        <v>1504892.52</v>
      </c>
      <c r="D20" s="20">
        <f t="shared" si="1"/>
        <v>-1149.5200000000186</v>
      </c>
    </row>
    <row r="21" spans="1:6" x14ac:dyDescent="0.2">
      <c r="A21" s="151" t="s">
        <v>343</v>
      </c>
      <c r="B21" s="20">
        <v>1583401</v>
      </c>
      <c r="C21" s="20">
        <v>1584550.31</v>
      </c>
      <c r="D21" s="20">
        <f t="shared" si="1"/>
        <v>-1149.3100000000559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7EF7-A93F-44D6-B82C-ED393FE0210D}">
  <dimension ref="A1:C4"/>
  <sheetViews>
    <sheetView workbookViewId="0">
      <selection activeCell="C5" sqref="C5"/>
    </sheetView>
  </sheetViews>
  <sheetFormatPr defaultColWidth="8.85546875" defaultRowHeight="12.75" x14ac:dyDescent="0.2"/>
  <cols>
    <col min="1" max="1" width="5.140625" style="116" bestFit="1" customWidth="1"/>
    <col min="2" max="2" width="10.140625" style="116" customWidth="1"/>
    <col min="3" max="3" width="43.140625" customWidth="1"/>
  </cols>
  <sheetData>
    <row r="1" spans="1:3" x14ac:dyDescent="0.2">
      <c r="A1" s="116" t="s">
        <v>226</v>
      </c>
      <c r="B1" s="116" t="s">
        <v>227</v>
      </c>
      <c r="C1" t="s">
        <v>229</v>
      </c>
    </row>
    <row r="2" spans="1:3" x14ac:dyDescent="0.2">
      <c r="A2" s="116">
        <v>1</v>
      </c>
      <c r="B2" s="116" t="s">
        <v>228</v>
      </c>
      <c r="C2" t="s">
        <v>232</v>
      </c>
    </row>
    <row r="3" spans="1:3" x14ac:dyDescent="0.2">
      <c r="A3" s="116">
        <v>2</v>
      </c>
      <c r="B3" s="116" t="s">
        <v>230</v>
      </c>
      <c r="C3" t="s">
        <v>231</v>
      </c>
    </row>
    <row r="4" spans="1:3" x14ac:dyDescent="0.2">
      <c r="A4" s="116">
        <v>3</v>
      </c>
      <c r="B4" s="116" t="s">
        <v>233</v>
      </c>
      <c r="C4" s="100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Regnskab og budget</vt:lpstr>
      <vt:lpstr>Banken</vt:lpstr>
      <vt:lpstr>Arbejdskapital</vt:lpstr>
      <vt:lpstr>5-årsplanen</vt:lpstr>
      <vt:lpstr>ØL-regnskab</vt:lpstr>
      <vt:lpstr>Saldobalance</vt:lpstr>
      <vt:lpstr>Budget 23</vt:lpstr>
      <vt:lpstr>Kontoplan 22.12.28</vt:lpstr>
      <vt:lpstr>Ultimokontrol</vt:lpstr>
      <vt:lpstr>Versionsstyring</vt:lpstr>
    </vt:vector>
  </TitlesOfParts>
  <Company>RAMBØLL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Mikael Rasmussen</cp:lastModifiedBy>
  <cp:lastPrinted>2023-01-04T19:11:15Z</cp:lastPrinted>
  <dcterms:created xsi:type="dcterms:W3CDTF">2005-04-10T13:24:59Z</dcterms:created>
  <dcterms:modified xsi:type="dcterms:W3CDTF">2024-04-24T19:34:54Z</dcterms:modified>
</cp:coreProperties>
</file>