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nPc\Dokumenter\Bakken\Økonomi\Vandregnskab\"/>
    </mc:Choice>
  </mc:AlternateContent>
  <xr:revisionPtr revIDLastSave="0" documentId="13_ncr:1_{A58707D3-688C-404F-913E-F31836AEA4F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Vandregnskab " sheetId="5" r:id="rId1"/>
    <sheet name="Antal hoveder" sheetId="9" r:id="rId2"/>
    <sheet name="Aflæsninger" sheetId="7" r:id="rId3"/>
    <sheet name="a conto bofæller" sheetId="2" r:id="rId4"/>
    <sheet name="a conto fælleshuset" sheetId="8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9" l="1"/>
  <c r="D20" i="9"/>
  <c r="D15" i="9"/>
  <c r="D3" i="9"/>
  <c r="D28" i="9"/>
  <c r="D27" i="9"/>
  <c r="G14" i="5"/>
  <c r="G15" i="5"/>
  <c r="G16" i="5"/>
  <c r="G18" i="5"/>
  <c r="G19" i="5"/>
  <c r="G20" i="5"/>
  <c r="G22" i="5"/>
  <c r="G23" i="5"/>
  <c r="G25" i="5"/>
  <c r="G26" i="5"/>
  <c r="G27" i="5"/>
  <c r="G29" i="5"/>
  <c r="G30" i="5"/>
  <c r="G31" i="5"/>
  <c r="G33" i="5"/>
  <c r="G34" i="5"/>
  <c r="G35" i="5"/>
  <c r="G37" i="5"/>
  <c r="G38" i="5"/>
  <c r="G39" i="5"/>
  <c r="G41" i="5"/>
  <c r="G42" i="5"/>
  <c r="G43" i="5"/>
  <c r="G45" i="5"/>
  <c r="G46" i="5"/>
  <c r="G48" i="5"/>
  <c r="G49" i="5"/>
  <c r="G52" i="5"/>
  <c r="J16" i="8"/>
  <c r="G61" i="5"/>
  <c r="G64" i="5"/>
  <c r="E12" i="7"/>
  <c r="C15" i="5"/>
  <c r="E13" i="7"/>
  <c r="E14" i="7"/>
  <c r="E15" i="7"/>
  <c r="E16" i="7"/>
  <c r="E17" i="7"/>
  <c r="E18" i="7"/>
  <c r="E19" i="7"/>
  <c r="E20" i="7"/>
  <c r="E21" i="7"/>
  <c r="E22" i="7"/>
  <c r="E23" i="7"/>
  <c r="E24" i="7"/>
  <c r="E7" i="7"/>
  <c r="E8" i="7"/>
  <c r="E31" i="7"/>
  <c r="D4" i="5"/>
  <c r="D8" i="5"/>
  <c r="E15" i="5"/>
  <c r="B17" i="5"/>
  <c r="F14" i="5"/>
  <c r="H14" i="5"/>
  <c r="F15" i="5"/>
  <c r="H15" i="5"/>
  <c r="F16" i="5"/>
  <c r="H16" i="5"/>
  <c r="E28" i="7"/>
  <c r="C19" i="5"/>
  <c r="E19" i="5"/>
  <c r="B21" i="5"/>
  <c r="F18" i="5"/>
  <c r="H18" i="5"/>
  <c r="F19" i="5"/>
  <c r="H19" i="5"/>
  <c r="F20" i="5"/>
  <c r="H20" i="5"/>
  <c r="C22" i="5"/>
  <c r="E22" i="5"/>
  <c r="B24" i="5"/>
  <c r="F22" i="5"/>
  <c r="H22" i="5"/>
  <c r="F23" i="5"/>
  <c r="H23" i="5"/>
  <c r="C26" i="5"/>
  <c r="E26" i="5"/>
  <c r="B28" i="5"/>
  <c r="F25" i="5"/>
  <c r="H25" i="5"/>
  <c r="F26" i="5"/>
  <c r="H26" i="5"/>
  <c r="F27" i="5"/>
  <c r="H27" i="5"/>
  <c r="C30" i="5"/>
  <c r="E30" i="5"/>
  <c r="B32" i="5"/>
  <c r="F29" i="5"/>
  <c r="H29" i="5"/>
  <c r="F30" i="5"/>
  <c r="H30" i="5"/>
  <c r="F31" i="5"/>
  <c r="H31" i="5"/>
  <c r="C34" i="5"/>
  <c r="E34" i="5"/>
  <c r="B36" i="5"/>
  <c r="F33" i="5"/>
  <c r="H33" i="5"/>
  <c r="F34" i="5"/>
  <c r="H34" i="5"/>
  <c r="F35" i="5"/>
  <c r="H35" i="5"/>
  <c r="C38" i="5"/>
  <c r="E38" i="5"/>
  <c r="B40" i="5"/>
  <c r="F37" i="5"/>
  <c r="H37" i="5"/>
  <c r="F38" i="5"/>
  <c r="H38" i="5"/>
  <c r="F39" i="5"/>
  <c r="H39" i="5"/>
  <c r="C42" i="5"/>
  <c r="E42" i="5"/>
  <c r="B44" i="5"/>
  <c r="F41" i="5"/>
  <c r="H41" i="5"/>
  <c r="F42" i="5"/>
  <c r="H42" i="5"/>
  <c r="F43" i="5"/>
  <c r="H43" i="5"/>
  <c r="C45" i="5"/>
  <c r="E27" i="7"/>
  <c r="D45" i="5"/>
  <c r="B47" i="5"/>
  <c r="F45" i="5"/>
  <c r="H45" i="5"/>
  <c r="C46" i="5"/>
  <c r="F46" i="5"/>
  <c r="H46" i="5"/>
  <c r="E29" i="7"/>
  <c r="C48" i="5"/>
  <c r="D48" i="5"/>
  <c r="E48" i="5"/>
  <c r="B50" i="5"/>
  <c r="F48" i="5"/>
  <c r="H48" i="5"/>
  <c r="F49" i="5"/>
  <c r="H49" i="5"/>
  <c r="H52" i="5"/>
  <c r="C53" i="5"/>
  <c r="C59" i="5"/>
  <c r="C61" i="5"/>
  <c r="E61" i="5"/>
  <c r="H61" i="5"/>
  <c r="E60" i="5"/>
  <c r="H60" i="5"/>
  <c r="H64" i="5"/>
  <c r="J64" i="5"/>
  <c r="E6" i="7"/>
  <c r="E32" i="7"/>
  <c r="J48" i="5"/>
  <c r="J45" i="5"/>
  <c r="J46" i="5"/>
  <c r="F24" i="7"/>
  <c r="F6" i="7"/>
  <c r="F8" i="7"/>
  <c r="F32" i="7"/>
  <c r="C24" i="7"/>
  <c r="D18" i="9"/>
  <c r="D17" i="9"/>
  <c r="D23" i="9"/>
  <c r="D22" i="9"/>
  <c r="D13" i="9"/>
  <c r="D10" i="9"/>
  <c r="D11" i="9"/>
  <c r="D12" i="9"/>
  <c r="D8" i="9"/>
  <c r="D6" i="9"/>
  <c r="D5" i="9"/>
  <c r="M29" i="7"/>
  <c r="J8" i="5"/>
  <c r="F7" i="7"/>
  <c r="F12" i="7"/>
  <c r="F13" i="7"/>
  <c r="F14" i="7"/>
  <c r="F15" i="7"/>
  <c r="F16" i="7"/>
  <c r="F17" i="7"/>
  <c r="F18" i="7"/>
  <c r="F19" i="7"/>
  <c r="F20" i="7"/>
  <c r="F21" i="7"/>
  <c r="F22" i="7"/>
  <c r="F23" i="7"/>
  <c r="D24" i="7"/>
  <c r="F29" i="7"/>
  <c r="F27" i="7"/>
  <c r="F31" i="7"/>
  <c r="E33" i="7"/>
  <c r="F33" i="7"/>
  <c r="H4" i="5"/>
  <c r="K4" i="5"/>
  <c r="H6" i="5"/>
  <c r="K6" i="5"/>
  <c r="G8" i="5"/>
  <c r="H8" i="5"/>
  <c r="K8" i="5"/>
  <c r="I14" i="5"/>
  <c r="I15" i="5"/>
  <c r="J15" i="5"/>
  <c r="I16" i="5"/>
  <c r="I18" i="5"/>
  <c r="I19" i="5"/>
  <c r="J19" i="5"/>
  <c r="I20" i="5"/>
  <c r="I22" i="5"/>
  <c r="J22" i="5"/>
  <c r="I23" i="5"/>
  <c r="I25" i="5"/>
  <c r="I26" i="5"/>
  <c r="J26" i="5"/>
  <c r="I27" i="5"/>
  <c r="I29" i="5"/>
  <c r="I30" i="5"/>
  <c r="J30" i="5"/>
  <c r="I31" i="5"/>
  <c r="I33" i="5"/>
  <c r="I34" i="5"/>
  <c r="J34" i="5"/>
  <c r="I35" i="5"/>
  <c r="I37" i="5"/>
  <c r="I38" i="5"/>
  <c r="J38" i="5"/>
  <c r="I39" i="5"/>
  <c r="I41" i="5"/>
  <c r="I42" i="5"/>
  <c r="J42" i="5"/>
  <c r="I43" i="5"/>
  <c r="I45" i="5"/>
  <c r="I46" i="5"/>
  <c r="I48" i="5"/>
  <c r="I49" i="5"/>
  <c r="C52" i="5"/>
  <c r="E52" i="5"/>
  <c r="E53" i="5"/>
  <c r="C54" i="5"/>
  <c r="E54" i="5"/>
  <c r="C55" i="5"/>
  <c r="E55" i="5"/>
  <c r="E59" i="5"/>
  <c r="I61" i="5"/>
</calcChain>
</file>

<file path=xl/sharedStrings.xml><?xml version="1.0" encoding="utf-8"?>
<sst xmlns="http://schemas.openxmlformats.org/spreadsheetml/2006/main" count="287" uniqueCount="167">
  <si>
    <t>1</t>
  </si>
  <si>
    <t>2</t>
  </si>
  <si>
    <t>3</t>
  </si>
  <si>
    <t xml:space="preserve"> 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</si>
  <si>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</si>
  <si>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</si>
  <si>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</si>
  <si>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</si>
  <si>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</si>
  <si>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</si>
  <si>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</si>
  <si>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</si>
  <si>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</si>
  <si>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</si>
  <si>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</si>
  <si>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</si>
  <si>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</si>
  <si>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</si>
  <si>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</si>
  <si>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</si>
  <si>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</si>
  <si>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</si>
  <si>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16</t>
  </si>
  <si>
    <t>personer</t>
  </si>
  <si>
    <t>Antal</t>
  </si>
  <si>
    <r>
      <t>m</t>
    </r>
    <r>
      <rPr>
        <vertAlign val="superscript"/>
        <sz val="10"/>
        <rFont val="Arial"/>
        <family val="2"/>
      </rPr>
      <t>3</t>
    </r>
  </si>
  <si>
    <t>kr.</t>
  </si>
  <si>
    <t>Hus nr.</t>
  </si>
  <si>
    <t>A cto.</t>
  </si>
  <si>
    <t>Vandforbrug</t>
  </si>
  <si>
    <t>pr. hus</t>
  </si>
  <si>
    <t>Total udgift:</t>
  </si>
  <si>
    <t>i alt</t>
  </si>
  <si>
    <t>kr</t>
  </si>
  <si>
    <t>Totalt for husstande</t>
  </si>
  <si>
    <t>Totalt for fælleshus</t>
  </si>
  <si>
    <r>
      <t>gruppe</t>
    </r>
    <r>
      <rPr>
        <sz val="7"/>
        <rFont val="Arial"/>
        <family val="2"/>
      </rPr>
      <t xml:space="preserve"> </t>
    </r>
  </si>
  <si>
    <t>gruppe</t>
  </si>
  <si>
    <t xml:space="preserve"> Opkrævet af kommunen</t>
  </si>
  <si>
    <t>Bimålere i alt</t>
  </si>
  <si>
    <t>Kontrol</t>
  </si>
  <si>
    <t>Indbetalt</t>
  </si>
  <si>
    <t>næste år</t>
  </si>
  <si>
    <r>
      <t>Totalt antal m</t>
    </r>
    <r>
      <rPr>
        <vertAlign val="superscript"/>
        <sz val="10"/>
        <rFont val="Arial"/>
        <family val="2"/>
      </rPr>
      <t>3</t>
    </r>
  </si>
  <si>
    <t>Sidste år</t>
  </si>
  <si>
    <t>Ændring</t>
  </si>
  <si>
    <t>Med tillæg for varmt vand fra Hus 26</t>
  </si>
  <si>
    <t xml:space="preserve"> Aflæsningerne eksl. Grønt vand</t>
  </si>
  <si>
    <t>Aflæsning</t>
  </si>
  <si>
    <t>Forbrug/dag</t>
  </si>
  <si>
    <t>Hovedmåler</t>
  </si>
  <si>
    <t>Grønt vand</t>
  </si>
  <si>
    <t>Fyrgrupper</t>
  </si>
  <si>
    <t>1 til 3</t>
  </si>
  <si>
    <t>7 til 8</t>
  </si>
  <si>
    <t>9 til 11</t>
  </si>
  <si>
    <t>12 til 14</t>
  </si>
  <si>
    <t>15 til 17</t>
  </si>
  <si>
    <t>18 til 20</t>
  </si>
  <si>
    <t>21 til 23</t>
  </si>
  <si>
    <t>I alt bimålere</t>
  </si>
  <si>
    <t>Bruges til afregningen minus varmt vand til hus 24-25</t>
  </si>
  <si>
    <t>Varmt vand Hus 24-25</t>
  </si>
  <si>
    <t>Lægges til Hus 24-25 og trækkes fra Hus 26s forbrug</t>
  </si>
  <si>
    <t>Gennemsnit fyrgrupper (minus 7-8)</t>
  </si>
  <si>
    <t>bakken27</t>
  </si>
  <si>
    <t>Næste år</t>
  </si>
  <si>
    <t>Vaskeri</t>
  </si>
  <si>
    <t>Fælleshus rent</t>
  </si>
  <si>
    <t>304714 - Bofællesskabet Bakken I/S</t>
  </si>
  <si>
    <t>Type</t>
  </si>
  <si>
    <t>Dato</t>
  </si>
  <si>
    <t>Bilag</t>
  </si>
  <si>
    <t>Tekst</t>
  </si>
  <si>
    <t>Moms</t>
  </si>
  <si>
    <t>Valuta</t>
  </si>
  <si>
    <t>Systempostering</t>
  </si>
  <si>
    <t>Gruppe</t>
  </si>
  <si>
    <t>Nr.</t>
  </si>
  <si>
    <t>Navn</t>
  </si>
  <si>
    <t>Omsætning</t>
  </si>
  <si>
    <t>Omkostninger</t>
  </si>
  <si>
    <t>Bruttofortj.</t>
  </si>
  <si>
    <t>Bruttofortj. i %</t>
  </si>
  <si>
    <t>Tallene tages fra årets vaskeriregnskab</t>
  </si>
  <si>
    <t>Fra</t>
  </si>
  <si>
    <t>Til</t>
  </si>
  <si>
    <t>Snit</t>
  </si>
  <si>
    <t>I år</t>
  </si>
  <si>
    <t>Vandforbrug 1. januar til den 31. december</t>
  </si>
  <si>
    <t>Hovedmåler - bimålere (Diff)</t>
  </si>
  <si>
    <t>Forbrug</t>
  </si>
  <si>
    <t>Kundenr</t>
  </si>
  <si>
    <t>Målernr</t>
  </si>
  <si>
    <t>Rapporter » Kunder »</t>
  </si>
  <si>
    <t>Rapporter » Regnskab</t>
  </si>
  <si>
    <t>Konto</t>
  </si>
  <si>
    <t>Beløb</t>
  </si>
  <si>
    <t>Saldo</t>
  </si>
  <si>
    <t>Varmt</t>
  </si>
  <si>
    <t>vand</t>
  </si>
  <si>
    <t>26 st</t>
  </si>
  <si>
    <t>26 1.</t>
  </si>
  <si>
    <t>Minus varmt vand til Hus 24 og 25</t>
  </si>
  <si>
    <t xml:space="preserve"> over 3 år</t>
  </si>
  <si>
    <t>Hus 6</t>
  </si>
  <si>
    <t> </t>
  </si>
  <si>
    <t>Hus 11</t>
  </si>
  <si>
    <t>Fælleshus totalt:</t>
  </si>
  <si>
    <t/>
  </si>
  <si>
    <t>Kunde</t>
  </si>
  <si>
    <t xml:space="preserve">Fårevand </t>
  </si>
  <si>
    <t>Trækkes fra hus 4 til 6's forbrug</t>
  </si>
  <si>
    <t>Fårevand er trukket fra</t>
  </si>
  <si>
    <t>Hus 3</t>
  </si>
  <si>
    <t>Hus 1</t>
  </si>
  <si>
    <t>Johan fylder 3 år d. 10/7 2020</t>
  </si>
  <si>
    <t>Hus 12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</si>
  <si>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-pris:</t>
    </r>
  </si>
  <si>
    <t>Vandregnskab 2019</t>
  </si>
  <si>
    <t>Omsætningsstatistik for kunder - perioden 01.01.19 - 31.12.19</t>
  </si>
  <si>
    <t>Bofæller</t>
  </si>
  <si>
    <t>Hus 2</t>
  </si>
  <si>
    <t>Hus 4</t>
  </si>
  <si>
    <t>Hus 5</t>
  </si>
  <si>
    <t>Hus 7</t>
  </si>
  <si>
    <t>Hus 8</t>
  </si>
  <si>
    <t>Hus 9</t>
  </si>
  <si>
    <t>Hus 10</t>
  </si>
  <si>
    <t>Hus 13</t>
  </si>
  <si>
    <t>Hus 14</t>
  </si>
  <si>
    <t>Hus 15</t>
  </si>
  <si>
    <t>Hus 16</t>
  </si>
  <si>
    <t>Hus 17</t>
  </si>
  <si>
    <t>Hus 18</t>
  </si>
  <si>
    <t>Hus 19</t>
  </si>
  <si>
    <t>Hus 20</t>
  </si>
  <si>
    <t>Hus 21</t>
  </si>
  <si>
    <t>Hus 22</t>
  </si>
  <si>
    <t>Hus 23</t>
  </si>
  <si>
    <t>Hus 24</t>
  </si>
  <si>
    <t>Hus 25</t>
  </si>
  <si>
    <t>Hus 26 st.</t>
  </si>
  <si>
    <t>Hus 26 1.</t>
  </si>
  <si>
    <t>Bofæller i alt:</t>
  </si>
  <si>
    <t>Total:</t>
  </si>
  <si>
    <t>Posteringer for perioden 01.01.19 - 31.12.19</t>
  </si>
  <si>
    <t>Vand</t>
  </si>
  <si>
    <t>Fælleshusets vand a conto</t>
  </si>
  <si>
    <t>Finansbilag</t>
  </si>
  <si>
    <t>vandregulering pr 15.3.19*</t>
  </si>
  <si>
    <t>Topper fyldte 3 år d. 17/6 2019</t>
  </si>
  <si>
    <t>a cto.</t>
  </si>
  <si>
    <t>Til gode/</t>
  </si>
  <si>
    <t>Til betaling</t>
  </si>
  <si>
    <t>pr. GEF</t>
  </si>
  <si>
    <t>pr. person</t>
  </si>
  <si>
    <r>
      <t>Differens mellem totalforbrug og registreret forbrug fra bimålerne fordeles ud på alle 27 husstande via 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-prisen</t>
    </r>
  </si>
  <si>
    <r>
      <t xml:space="preserve"> Beregnet pris i kr./m</t>
    </r>
    <r>
      <rPr>
        <vertAlign val="superscript"/>
        <sz val="10"/>
        <rFont val="Arial"/>
        <family val="2"/>
      </rPr>
      <t>3</t>
    </r>
  </si>
  <si>
    <t>Trækkes fra hus 26's forbrug</t>
  </si>
  <si>
    <t>26 inkl. grønt vand</t>
  </si>
  <si>
    <t>Rød = Celle ændret. Skal tjekkes næste år</t>
  </si>
  <si>
    <t>4 til 6 inkl. fårevand</t>
  </si>
  <si>
    <t>Hus 4-6 eks. fårevand</t>
  </si>
  <si>
    <t>Hus 26 eks. Grønt vand</t>
  </si>
  <si>
    <t>Forbrugt  Hus 1-27</t>
  </si>
  <si>
    <t>Hus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</si>
</sst>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%"/>
    <numFmt numFmtId="166" formatCode="dd\-mm\-yyyy"/>
    <numFmt numFmtId="167" formatCode="#,##0.0"/>
  </numFmts>
  <fonts count="14" x14ac:knownFonts="1">
    <font>
      <sz val="10"/>
      <name val="Arial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quotePrefix="1"/>
    <xf numFmtId="3" fontId="0" fillId="2" borderId="0" xfId="0" applyNumberFormat="1" applyFill="1" applyAlignment="1">
      <alignment horizontal="center"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0" fontId="0" fillId="0" borderId="0" xfId="0" applyNumberFormat="1"/>
    <xf numFmtId="0" fontId="2" fillId="0" borderId="0" xfId="0" applyFont="1"/>
    <xf numFmtId="2" fontId="5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3" xfId="0" applyBorder="1"/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16" fontId="0" fillId="0" borderId="0" xfId="0" applyNumberFormat="1"/>
    <xf numFmtId="0" fontId="0" fillId="0" borderId="4" xfId="0" applyBorder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4" fontId="0" fillId="0" borderId="0" xfId="0" applyNumberFormat="1"/>
    <xf numFmtId="2" fontId="0" fillId="0" borderId="0" xfId="0" applyNumberFormat="1"/>
    <xf numFmtId="4" fontId="0" fillId="0" borderId="2" xfId="0" applyNumberFormat="1" applyBorder="1"/>
    <xf numFmtId="14" fontId="0" fillId="0" borderId="0" xfId="0" applyNumberFormat="1"/>
    <xf numFmtId="0" fontId="0" fillId="0" borderId="5" xfId="0" applyBorder="1"/>
    <xf numFmtId="3" fontId="0" fillId="0" borderId="5" xfId="0" applyNumberFormat="1" applyBorder="1"/>
    <xf numFmtId="4" fontId="0" fillId="0" borderId="5" xfId="0" applyNumberFormat="1" applyBorder="1"/>
    <xf numFmtId="1" fontId="0" fillId="0" borderId="0" xfId="0" applyNumberForma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left"/>
    </xf>
    <xf numFmtId="16" fontId="5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4" xfId="0" applyNumberFormat="1" applyFont="1" applyBorder="1" applyAlignment="1" applyProtection="1">
      <alignment horizontal="center"/>
      <protection locked="0"/>
    </xf>
    <xf numFmtId="3" fontId="0" fillId="0" borderId="6" xfId="0" applyNumberFormat="1" applyBorder="1" applyAlignment="1">
      <alignment horizontal="center"/>
    </xf>
    <xf numFmtId="0" fontId="0" fillId="0" borderId="2" xfId="0" applyBorder="1"/>
    <xf numFmtId="49" fontId="0" fillId="0" borderId="0" xfId="0" applyNumberFormat="1" applyAlignment="1">
      <alignment wrapText="1"/>
    </xf>
    <xf numFmtId="0" fontId="3" fillId="0" borderId="0" xfId="0" applyFont="1" applyProtection="1">
      <protection locked="0"/>
    </xf>
    <xf numFmtId="14" fontId="10" fillId="0" borderId="0" xfId="0" applyNumberFormat="1" applyFont="1" applyAlignment="1">
      <alignment wrapText="1"/>
    </xf>
    <xf numFmtId="1" fontId="10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right" wrapText="1"/>
    </xf>
    <xf numFmtId="2" fontId="2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left"/>
    </xf>
    <xf numFmtId="0" fontId="11" fillId="0" borderId="0" xfId="0" applyFont="1"/>
    <xf numFmtId="49" fontId="5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" fontId="12" fillId="0" borderId="0" xfId="0" applyNumberFormat="1" applyFont="1"/>
    <xf numFmtId="3" fontId="2" fillId="3" borderId="0" xfId="0" applyNumberFormat="1" applyFont="1" applyFill="1" applyProtection="1">
      <protection locked="0"/>
    </xf>
    <xf numFmtId="3" fontId="2" fillId="3" borderId="4" xfId="0" applyNumberFormat="1" applyFont="1" applyFill="1" applyBorder="1" applyProtection="1">
      <protection locked="0"/>
    </xf>
    <xf numFmtId="3" fontId="2" fillId="3" borderId="5" xfId="0" applyNumberFormat="1" applyFont="1" applyFill="1" applyBorder="1"/>
    <xf numFmtId="2" fontId="12" fillId="0" borderId="0" xfId="0" applyNumberFormat="1" applyFont="1"/>
    <xf numFmtId="14" fontId="11" fillId="0" borderId="0" xfId="0" applyNumberFormat="1" applyFont="1"/>
    <xf numFmtId="14" fontId="5" fillId="0" borderId="0" xfId="0" applyNumberFormat="1" applyFont="1"/>
    <xf numFmtId="2" fontId="5" fillId="0" borderId="0" xfId="0" applyNumberFormat="1" applyFont="1"/>
    <xf numFmtId="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3" fontId="2" fillId="0" borderId="0" xfId="0" applyNumberFormat="1" applyFont="1"/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3" fontId="0" fillId="0" borderId="4" xfId="0" applyNumberFormat="1" applyBorder="1"/>
    <xf numFmtId="0" fontId="11" fillId="0" borderId="0" xfId="0" applyFont="1" applyAlignment="1">
      <alignment horizontal="right"/>
    </xf>
    <xf numFmtId="14" fontId="12" fillId="0" borderId="0" xfId="0" applyNumberFormat="1" applyFont="1"/>
    <xf numFmtId="164" fontId="5" fillId="0" borderId="0" xfId="0" applyNumberFormat="1" applyFont="1" applyAlignment="1">
      <alignment horizontal="right"/>
    </xf>
    <xf numFmtId="4" fontId="5" fillId="0" borderId="0" xfId="0" applyNumberFormat="1" applyFont="1"/>
    <xf numFmtId="167" fontId="0" fillId="0" borderId="0" xfId="0" applyNumberFormat="1"/>
    <xf numFmtId="10" fontId="5" fillId="0" borderId="0" xfId="0" applyNumberFormat="1" applyFont="1"/>
    <xf numFmtId="0" fontId="13" fillId="0" borderId="0" xfId="0" applyFont="1"/>
    <xf numFmtId="0" fontId="0" fillId="0" borderId="0" xfId="0"/>
    <xf numFmtId="0" fontId="0" fillId="0" borderId="0" xfId="0" applyAlignment="1">
      <alignment horizontal="right"/>
    </xf>
    <xf numFmtId="1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 applyProtection="1">
      <alignment horizontal="right"/>
      <protection locked="0"/>
    </xf>
    <xf numFmtId="0" fontId="0" fillId="2" borderId="0" xfId="0" applyFont="1" applyFill="1" applyAlignment="1">
      <alignment horizontal="center"/>
    </xf>
    <xf numFmtId="3" fontId="5" fillId="0" borderId="0" xfId="0" applyNumberFormat="1" applyFont="1"/>
    <xf numFmtId="0" fontId="0" fillId="0" borderId="0" xfId="0"/>
    <xf numFmtId="0" fontId="11" fillId="0" borderId="0" xfId="0" applyFont="1" applyAlignment="1">
      <alignment horizontal="left"/>
    </xf>
    <xf numFmtId="0" fontId="12" fillId="0" borderId="0" xfId="0" applyFont="1"/>
    <xf numFmtId="3" fontId="5" fillId="0" borderId="2" xfId="0" applyNumberFormat="1" applyFont="1" applyBorder="1" applyAlignment="1" applyProtection="1">
      <alignment horizontal="right"/>
      <protection locked="0"/>
    </xf>
    <xf numFmtId="3" fontId="0" fillId="0" borderId="7" xfId="0" applyNumberForma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0" fillId="0" borderId="0" xfId="0" applyBorder="1"/>
    <xf numFmtId="0" fontId="11" fillId="0" borderId="0" xfId="0" applyFont="1" applyBorder="1"/>
    <xf numFmtId="4" fontId="11" fillId="0" borderId="0" xfId="0" applyNumberFormat="1" applyFont="1" applyBorder="1"/>
    <xf numFmtId="3" fontId="11" fillId="0" borderId="0" xfId="0" applyNumberFormat="1" applyFont="1" applyBorder="1"/>
    <xf numFmtId="14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/>
    <xf numFmtId="1" fontId="11" fillId="0" borderId="0" xfId="0" quotePrefix="1" applyNumberFormat="1" applyFont="1" applyBorder="1" applyAlignment="1">
      <alignment horizontal="center"/>
    </xf>
    <xf numFmtId="167" fontId="11" fillId="0" borderId="0" xfId="0" applyNumberFormat="1" applyFont="1" applyBorder="1"/>
    <xf numFmtId="14" fontId="11" fillId="0" borderId="0" xfId="0" applyNumberFormat="1" applyFont="1" applyBorder="1"/>
    <xf numFmtId="49" fontId="0" fillId="0" borderId="2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/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zoomScale="90" workbookViewId="0">
      <pane ySplit="13" topLeftCell="A14" activePane="bottomLeft" state="frozen"/>
      <selection pane="bottomLeft" activeCell="B50" sqref="B50"/>
    </sheetView>
  </sheetViews>
  <sheetFormatPr defaultRowHeight="12.75" x14ac:dyDescent="0.2"/>
  <cols>
    <col min="3" max="3" width="10.7109375" bestFit="1" customWidth="1"/>
    <col min="4" max="4" width="8.7109375" customWidth="1"/>
    <col min="5" max="5" width="20" style="17" customWidth="1"/>
    <col min="6" max="6" width="11.7109375" bestFit="1" customWidth="1"/>
    <col min="7" max="7" width="9.28515625" customWidth="1"/>
    <col min="8" max="8" width="10.7109375" customWidth="1"/>
    <col min="10" max="10" width="10.7109375" bestFit="1" customWidth="1"/>
    <col min="11" max="11" width="8.5703125" customWidth="1"/>
  </cols>
  <sheetData>
    <row r="1" spans="1:11" ht="18" x14ac:dyDescent="0.25">
      <c r="A1" s="15" t="s">
        <v>119</v>
      </c>
    </row>
    <row r="2" spans="1:11" x14ac:dyDescent="0.2">
      <c r="D2" s="1" t="s">
        <v>88</v>
      </c>
      <c r="G2" s="1" t="s">
        <v>44</v>
      </c>
      <c r="H2" s="1" t="s">
        <v>45</v>
      </c>
      <c r="J2" t="s">
        <v>66</v>
      </c>
      <c r="K2" s="1" t="s">
        <v>45</v>
      </c>
    </row>
    <row r="4" spans="1:11" ht="14.25" x14ac:dyDescent="0.2">
      <c r="A4" s="28" t="s">
        <v>43</v>
      </c>
      <c r="B4" s="28"/>
      <c r="C4" s="16"/>
      <c r="D4" s="55">
        <f>Aflæsninger!E31</f>
        <v>2824.9</v>
      </c>
      <c r="E4" s="17" t="s">
        <v>47</v>
      </c>
      <c r="G4" s="109">
        <v>2793.4</v>
      </c>
      <c r="H4" s="33">
        <f>($D4-$G4)/$G4</f>
        <v>1.1276580511204982E-2</v>
      </c>
      <c r="J4" s="109">
        <v>2980</v>
      </c>
      <c r="K4" s="102">
        <f>($J4-$G4)/$D4</f>
        <v>6.6055435590640338E-2</v>
      </c>
    </row>
    <row r="5" spans="1:11" x14ac:dyDescent="0.2">
      <c r="A5" s="28"/>
      <c r="B5" s="28"/>
      <c r="C5" s="16"/>
      <c r="D5" s="6"/>
      <c r="G5" s="6"/>
      <c r="K5" s="26"/>
    </row>
    <row r="6" spans="1:11" x14ac:dyDescent="0.2">
      <c r="A6" s="28" t="s">
        <v>31</v>
      </c>
      <c r="B6" s="28"/>
      <c r="C6" s="16"/>
      <c r="D6" s="109">
        <v>170115.38</v>
      </c>
      <c r="E6" s="23" t="s">
        <v>38</v>
      </c>
      <c r="G6" s="109">
        <v>159471.95000000001</v>
      </c>
      <c r="H6" s="33">
        <f>($D6-$G6)/$G6</f>
        <v>6.6741705986538655E-2</v>
      </c>
      <c r="J6" s="109">
        <v>173840.4</v>
      </c>
      <c r="K6" s="102">
        <f>($J6-$G6)/$D6</f>
        <v>8.4462968604014421E-2</v>
      </c>
    </row>
    <row r="7" spans="1:11" x14ac:dyDescent="0.2">
      <c r="A7" s="130"/>
      <c r="B7" s="130"/>
      <c r="C7" s="3"/>
      <c r="E7" s="5"/>
      <c r="I7" s="3"/>
      <c r="J7" s="3"/>
      <c r="K7" s="26"/>
    </row>
    <row r="8" spans="1:11" ht="14.25" x14ac:dyDescent="0.2">
      <c r="A8" s="28" t="s">
        <v>118</v>
      </c>
      <c r="B8" s="28"/>
      <c r="C8" s="16"/>
      <c r="D8" s="35">
        <f>D6/D4</f>
        <v>60.219965308506495</v>
      </c>
      <c r="E8" s="111" t="s">
        <v>158</v>
      </c>
      <c r="G8" s="35">
        <f>G6/G4</f>
        <v>57.088834395360493</v>
      </c>
      <c r="H8" s="33">
        <f>($D8-$G8)/$G8</f>
        <v>5.484664289100398E-2</v>
      </c>
      <c r="J8" s="35">
        <f>J6/J4</f>
        <v>58.335704697986579</v>
      </c>
      <c r="K8" s="102">
        <f>($J8-$G8)/$D8</f>
        <v>2.0705264379319663E-2</v>
      </c>
    </row>
    <row r="9" spans="1:11" x14ac:dyDescent="0.2">
      <c r="A9" s="3"/>
      <c r="B9" s="3"/>
      <c r="C9" s="3"/>
    </row>
    <row r="10" spans="1:11" x14ac:dyDescent="0.2">
      <c r="A10" s="3"/>
      <c r="B10" s="3"/>
      <c r="C10" s="3"/>
      <c r="H10" s="17"/>
    </row>
    <row r="11" spans="1:11" x14ac:dyDescent="0.2">
      <c r="A11" s="7"/>
      <c r="B11" s="8" t="s">
        <v>24</v>
      </c>
      <c r="C11" s="8" t="s">
        <v>29</v>
      </c>
      <c r="D11" s="19" t="s">
        <v>99</v>
      </c>
      <c r="E11" s="22" t="s">
        <v>29</v>
      </c>
      <c r="F11" s="8" t="s">
        <v>29</v>
      </c>
      <c r="G11" s="8" t="s">
        <v>41</v>
      </c>
      <c r="H11" s="22" t="s">
        <v>153</v>
      </c>
      <c r="I11" s="8" t="s">
        <v>28</v>
      </c>
      <c r="J11" s="8" t="s">
        <v>29</v>
      </c>
    </row>
    <row r="12" spans="1:11" x14ac:dyDescent="0.2">
      <c r="A12" s="7"/>
      <c r="B12" s="8" t="s">
        <v>23</v>
      </c>
      <c r="C12" s="19" t="s">
        <v>36</v>
      </c>
      <c r="D12" s="19" t="s">
        <v>100</v>
      </c>
      <c r="E12" s="22" t="s">
        <v>37</v>
      </c>
      <c r="F12" s="8" t="s">
        <v>30</v>
      </c>
      <c r="G12" s="8" t="s">
        <v>152</v>
      </c>
      <c r="H12" s="22" t="s">
        <v>154</v>
      </c>
      <c r="I12" s="8" t="s">
        <v>155</v>
      </c>
      <c r="J12" s="8" t="s">
        <v>156</v>
      </c>
    </row>
    <row r="13" spans="1:11" ht="14.25" x14ac:dyDescent="0.2">
      <c r="A13" s="8" t="s">
        <v>27</v>
      </c>
      <c r="B13" s="8" t="s">
        <v>104</v>
      </c>
      <c r="C13" s="8" t="s">
        <v>25</v>
      </c>
      <c r="D13" s="8" t="s">
        <v>25</v>
      </c>
      <c r="E13" s="22" t="s">
        <v>26</v>
      </c>
      <c r="F13" s="8" t="s">
        <v>26</v>
      </c>
      <c r="G13" s="8" t="s">
        <v>26</v>
      </c>
      <c r="H13" s="110" t="s">
        <v>26</v>
      </c>
      <c r="I13" s="8" t="s">
        <v>42</v>
      </c>
      <c r="J13" s="19" t="s">
        <v>25</v>
      </c>
    </row>
    <row r="14" spans="1:11" x14ac:dyDescent="0.2">
      <c r="A14" s="2" t="s">
        <v>0</v>
      </c>
      <c r="B14" s="61">
        <v>4</v>
      </c>
      <c r="C14" s="3"/>
      <c r="D14" s="5"/>
      <c r="E14" s="5"/>
      <c r="F14" s="5">
        <f>$E$15/$B$17*B14</f>
        <v>8564.6172883209238</v>
      </c>
      <c r="G14" s="5">
        <f>'a conto bofæller'!D7</f>
        <v>9073</v>
      </c>
      <c r="H14" s="5">
        <f>F14-G14</f>
        <v>-508.38271167907624</v>
      </c>
      <c r="I14" s="5">
        <f>(F14)/6*(1+K$8)</f>
        <v>1456.9916589305501</v>
      </c>
      <c r="J14" s="5"/>
    </row>
    <row r="15" spans="1:11" x14ac:dyDescent="0.2">
      <c r="A15" s="2" t="s">
        <v>1</v>
      </c>
      <c r="B15" s="61">
        <v>1</v>
      </c>
      <c r="C15" s="27">
        <f>Aflæsninger!E12</f>
        <v>320</v>
      </c>
      <c r="D15" s="5"/>
      <c r="E15" s="5">
        <f>(C15*$D$8)</f>
        <v>19270.388898722078</v>
      </c>
      <c r="F15" s="5">
        <f>$E$15/$B$17*B15</f>
        <v>2141.1543220802309</v>
      </c>
      <c r="G15" s="5">
        <f>'a conto bofæller'!D8</f>
        <v>2315</v>
      </c>
      <c r="H15" s="5">
        <f>F15-G15</f>
        <v>-173.84567791976906</v>
      </c>
      <c r="I15" s="5">
        <f t="shared" ref="I15:I49" si="0">(F15)/6*(1+K$8)</f>
        <v>364.24791473263753</v>
      </c>
      <c r="J15" s="5">
        <f>C15/B17</f>
        <v>35.555555555555557</v>
      </c>
    </row>
    <row r="16" spans="1:11" x14ac:dyDescent="0.2">
      <c r="A16" s="2" t="s">
        <v>2</v>
      </c>
      <c r="B16" s="62">
        <v>4</v>
      </c>
      <c r="C16" s="3"/>
      <c r="D16" s="5"/>
      <c r="E16" s="5"/>
      <c r="F16" s="5">
        <f>$E$15/$B$17*B16</f>
        <v>8564.6172883209238</v>
      </c>
      <c r="G16" s="13">
        <f>'a conto bofæller'!D9</f>
        <v>7894</v>
      </c>
      <c r="H16" s="13">
        <f>F16-G16</f>
        <v>670.61728832092376</v>
      </c>
      <c r="I16" s="13">
        <f t="shared" si="0"/>
        <v>1456.9916589305501</v>
      </c>
      <c r="J16" s="13"/>
    </row>
    <row r="17" spans="1:10" x14ac:dyDescent="0.2">
      <c r="A17" s="9" t="s">
        <v>32</v>
      </c>
      <c r="B17" s="99">
        <f>SUM(B14:B16)</f>
        <v>9</v>
      </c>
      <c r="C17" s="10"/>
      <c r="D17" s="11"/>
      <c r="E17" s="11"/>
      <c r="F17" s="11"/>
      <c r="G17" s="5" t="s">
        <v>3</v>
      </c>
      <c r="H17" s="5"/>
      <c r="I17" s="5"/>
      <c r="J17" s="5"/>
    </row>
    <row r="18" spans="1:10" x14ac:dyDescent="0.2">
      <c r="A18" s="2" t="s">
        <v>4</v>
      </c>
      <c r="B18" s="61">
        <v>2</v>
      </c>
      <c r="C18" s="3"/>
      <c r="D18" s="5"/>
      <c r="E18" s="5"/>
      <c r="F18" s="5">
        <f>$E$19/$B$21*B18</f>
        <v>3596.6374280505506</v>
      </c>
      <c r="G18" s="5">
        <f>'a conto bofæller'!D10</f>
        <v>3966</v>
      </c>
      <c r="H18" s="5">
        <f>F18-G18</f>
        <v>-369.36257194944938</v>
      </c>
      <c r="I18" s="5">
        <f t="shared" si="0"/>
        <v>611.85112614581567</v>
      </c>
      <c r="J18" s="5"/>
    </row>
    <row r="19" spans="1:10" x14ac:dyDescent="0.2">
      <c r="A19" s="2" t="s">
        <v>5</v>
      </c>
      <c r="B19" s="61">
        <v>2</v>
      </c>
      <c r="C19" s="25">
        <f>Aflæsninger!E28</f>
        <v>238.9</v>
      </c>
      <c r="D19" s="5"/>
      <c r="E19" s="5">
        <f>C19*$D$8</f>
        <v>14386.549712202202</v>
      </c>
      <c r="F19" s="5">
        <f>$E$19/$B$21*B19</f>
        <v>3596.6374280505506</v>
      </c>
      <c r="G19" s="5">
        <f>'a conto bofæller'!D11</f>
        <v>3966</v>
      </c>
      <c r="H19" s="5">
        <f>F19-G19</f>
        <v>-369.36257194944938</v>
      </c>
      <c r="I19" s="5">
        <f t="shared" si="0"/>
        <v>611.85112614581567</v>
      </c>
      <c r="J19" s="5">
        <f>C19/B21</f>
        <v>29.862500000000001</v>
      </c>
    </row>
    <row r="20" spans="1:10" x14ac:dyDescent="0.2">
      <c r="A20" s="12" t="s">
        <v>6</v>
      </c>
      <c r="B20" s="62">
        <v>4</v>
      </c>
      <c r="C20" s="36"/>
      <c r="D20" s="13"/>
      <c r="E20" s="13"/>
      <c r="F20" s="13">
        <f>$E$19/$B$21*B20</f>
        <v>7193.2748561011012</v>
      </c>
      <c r="G20" s="13">
        <f>'a conto bofæller'!D12</f>
        <v>7442</v>
      </c>
      <c r="H20" s="13">
        <f>F20-G20</f>
        <v>-248.72514389889875</v>
      </c>
      <c r="I20" s="13">
        <f t="shared" si="0"/>
        <v>1223.7022522916313</v>
      </c>
      <c r="J20" s="13"/>
    </row>
    <row r="21" spans="1:10" x14ac:dyDescent="0.2">
      <c r="A21" s="2" t="s">
        <v>32</v>
      </c>
      <c r="B21" s="99">
        <f>SUM(B18:B20)</f>
        <v>8</v>
      </c>
      <c r="C21" s="4"/>
      <c r="D21" s="5"/>
      <c r="E21" s="5"/>
      <c r="F21" s="5"/>
      <c r="G21" s="5"/>
      <c r="H21" s="5"/>
      <c r="I21" s="5"/>
      <c r="J21" s="5"/>
    </row>
    <row r="22" spans="1:10" x14ac:dyDescent="0.2">
      <c r="A22" s="2" t="s">
        <v>7</v>
      </c>
      <c r="B22" s="61">
        <v>2</v>
      </c>
      <c r="C22" s="27">
        <f>Aflæsninger!E14</f>
        <v>151</v>
      </c>
      <c r="D22" s="5"/>
      <c r="E22" s="5">
        <f>C22*$D$8</f>
        <v>9093.2147615844806</v>
      </c>
      <c r="F22" s="5">
        <f>$E$22/$B$24*B22</f>
        <v>4546.6073807922403</v>
      </c>
      <c r="G22" s="5">
        <f>'a conto bofæller'!D13</f>
        <v>4655</v>
      </c>
      <c r="H22" s="5">
        <f>F22-G22</f>
        <v>-108.39261920775971</v>
      </c>
      <c r="I22" s="5">
        <f t="shared" si="0"/>
        <v>773.45768144008503</v>
      </c>
      <c r="J22" s="5">
        <f>C22/B24</f>
        <v>37.75</v>
      </c>
    </row>
    <row r="23" spans="1:10" x14ac:dyDescent="0.2">
      <c r="A23" s="2" t="s">
        <v>8</v>
      </c>
      <c r="B23" s="62">
        <v>2</v>
      </c>
      <c r="C23" s="27"/>
      <c r="D23" s="5"/>
      <c r="E23" s="5"/>
      <c r="F23" s="5">
        <f>$E$22/$B$24*B23</f>
        <v>4546.6073807922403</v>
      </c>
      <c r="G23" s="13">
        <f>'a conto bofæller'!D14</f>
        <v>4951</v>
      </c>
      <c r="H23" s="13">
        <f>F23-G23</f>
        <v>-404.39261920775971</v>
      </c>
      <c r="I23" s="13">
        <f t="shared" si="0"/>
        <v>773.45768144008503</v>
      </c>
      <c r="J23" s="13"/>
    </row>
    <row r="24" spans="1:10" x14ac:dyDescent="0.2">
      <c r="A24" s="9" t="s">
        <v>32</v>
      </c>
      <c r="B24" s="99">
        <f>SUM(B22:B23)</f>
        <v>4</v>
      </c>
      <c r="C24" s="53"/>
      <c r="D24" s="11"/>
      <c r="E24" s="11"/>
      <c r="F24" s="11"/>
      <c r="G24" s="5"/>
      <c r="H24" s="5"/>
      <c r="I24" s="5"/>
      <c r="J24" s="5"/>
    </row>
    <row r="25" spans="1:10" x14ac:dyDescent="0.2">
      <c r="A25" s="2" t="s">
        <v>9</v>
      </c>
      <c r="B25" s="61">
        <v>2</v>
      </c>
      <c r="C25" s="27"/>
      <c r="D25" s="5"/>
      <c r="E25" s="5"/>
      <c r="F25" s="5">
        <f>$E$26/$B$28*B25</f>
        <v>3793.8578144359089</v>
      </c>
      <c r="G25" s="5">
        <f>'a conto bofæller'!D15</f>
        <v>3286</v>
      </c>
      <c r="H25" s="5">
        <f>F25-G25</f>
        <v>507.85781443590895</v>
      </c>
      <c r="I25" s="5">
        <f t="shared" si="0"/>
        <v>645.40177391689213</v>
      </c>
      <c r="J25" s="5"/>
    </row>
    <row r="26" spans="1:10" x14ac:dyDescent="0.2">
      <c r="A26" s="2" t="s">
        <v>10</v>
      </c>
      <c r="B26" s="61">
        <v>2</v>
      </c>
      <c r="C26" s="27">
        <f>Aflæsninger!E15</f>
        <v>189</v>
      </c>
      <c r="D26" s="5"/>
      <c r="E26" s="5">
        <f>C26*$D$8</f>
        <v>11381.573443307727</v>
      </c>
      <c r="F26" s="5">
        <f>$E$26/$B$28*B26</f>
        <v>3793.8578144359089</v>
      </c>
      <c r="G26" s="5">
        <f>'a conto bofæller'!D16</f>
        <v>3286</v>
      </c>
      <c r="H26" s="5">
        <f>F26-G26</f>
        <v>507.85781443590895</v>
      </c>
      <c r="I26" s="5">
        <f t="shared" si="0"/>
        <v>645.40177391689213</v>
      </c>
      <c r="J26" s="5">
        <f>C26/B28</f>
        <v>31.5</v>
      </c>
    </row>
    <row r="27" spans="1:10" x14ac:dyDescent="0.2">
      <c r="A27" s="12" t="s">
        <v>11</v>
      </c>
      <c r="B27" s="62">
        <v>2</v>
      </c>
      <c r="C27" s="54"/>
      <c r="D27" s="13"/>
      <c r="E27" s="13"/>
      <c r="F27" s="13">
        <f>$E$26/$B$28*B27</f>
        <v>3793.8578144359089</v>
      </c>
      <c r="G27" s="13">
        <f>'a conto bofæller'!D17</f>
        <v>6103</v>
      </c>
      <c r="H27" s="13">
        <f>F27-G27</f>
        <v>-2309.1421855640911</v>
      </c>
      <c r="I27" s="13">
        <f t="shared" si="0"/>
        <v>645.40177391689213</v>
      </c>
      <c r="J27" s="13"/>
    </row>
    <row r="28" spans="1:10" x14ac:dyDescent="0.2">
      <c r="A28" s="2" t="s">
        <v>32</v>
      </c>
      <c r="B28" s="37">
        <f>SUM(B25:B27)</f>
        <v>6</v>
      </c>
      <c r="C28" s="37"/>
      <c r="D28" s="5"/>
      <c r="E28" s="5"/>
      <c r="F28" s="5"/>
      <c r="G28" s="5"/>
      <c r="H28" s="5"/>
      <c r="I28" s="5"/>
      <c r="J28" s="5"/>
    </row>
    <row r="29" spans="1:10" x14ac:dyDescent="0.2">
      <c r="A29" s="2">
        <v>12</v>
      </c>
      <c r="B29" s="61">
        <v>2</v>
      </c>
      <c r="C29" s="27"/>
      <c r="D29" s="5"/>
      <c r="E29" s="5"/>
      <c r="F29" s="5">
        <f>$E$30/$B$32*B29</f>
        <v>4998.7603515139099</v>
      </c>
      <c r="G29" s="5">
        <f>'a conto bofæller'!D18</f>
        <v>5250</v>
      </c>
      <c r="H29" s="5">
        <f t="shared" ref="H29:H35" si="1">F29-G29</f>
        <v>-251.23964848609012</v>
      </c>
      <c r="I29" s="5">
        <f t="shared" si="0"/>
        <v>850.37683436014447</v>
      </c>
      <c r="J29" s="5"/>
    </row>
    <row r="30" spans="1:10" x14ac:dyDescent="0.2">
      <c r="A30" s="2">
        <v>13</v>
      </c>
      <c r="B30" s="61">
        <v>2</v>
      </c>
      <c r="C30" s="27">
        <f>Aflæsninger!E16</f>
        <v>298</v>
      </c>
      <c r="D30" s="5"/>
      <c r="E30" s="5">
        <f>C30*$D$8</f>
        <v>17945.549661934936</v>
      </c>
      <c r="F30" s="5">
        <f>$E$30/$B$32*B30</f>
        <v>4998.7603515139099</v>
      </c>
      <c r="G30" s="5">
        <f>'a conto bofæller'!D19</f>
        <v>4805</v>
      </c>
      <c r="H30" s="5">
        <f t="shared" si="1"/>
        <v>193.76035151390988</v>
      </c>
      <c r="I30" s="5">
        <f t="shared" si="0"/>
        <v>850.37683436014447</v>
      </c>
      <c r="J30" s="5">
        <f>C30/B32</f>
        <v>41.504178272980504</v>
      </c>
    </row>
    <row r="31" spans="1:10" x14ac:dyDescent="0.2">
      <c r="A31" s="2">
        <v>14</v>
      </c>
      <c r="B31" s="62">
        <v>3.18</v>
      </c>
      <c r="C31" s="27"/>
      <c r="D31" s="5"/>
      <c r="E31" s="5"/>
      <c r="F31" s="5">
        <f>$E$30/$B$32*B31</f>
        <v>7948.0289589071172</v>
      </c>
      <c r="G31" s="13">
        <f>'a conto bofæller'!D20</f>
        <v>7313</v>
      </c>
      <c r="H31" s="13">
        <f t="shared" si="1"/>
        <v>635.02895890711716</v>
      </c>
      <c r="I31" s="13">
        <f t="shared" si="0"/>
        <v>1352.0991666326299</v>
      </c>
      <c r="J31" s="13"/>
    </row>
    <row r="32" spans="1:10" x14ac:dyDescent="0.2">
      <c r="A32" s="9" t="s">
        <v>32</v>
      </c>
      <c r="B32" s="99">
        <f>SUM(B29:B31)</f>
        <v>7.18</v>
      </c>
      <c r="C32" s="53"/>
      <c r="D32" s="11"/>
      <c r="E32" s="11"/>
      <c r="F32" s="11"/>
      <c r="G32" s="5"/>
      <c r="H32" s="5"/>
      <c r="I32" s="5"/>
      <c r="J32" s="5"/>
    </row>
    <row r="33" spans="1:11" x14ac:dyDescent="0.2">
      <c r="A33" s="2" t="s">
        <v>12</v>
      </c>
      <c r="B33" s="61">
        <v>4.1399999999999997</v>
      </c>
      <c r="C33" s="27"/>
      <c r="D33" s="5"/>
      <c r="E33" s="5"/>
      <c r="F33" s="5">
        <f>$E$34/$B$36*B33</f>
        <v>7503.8219671275338</v>
      </c>
      <c r="G33" s="5">
        <f>'a conto bofæller'!D21</f>
        <v>8457</v>
      </c>
      <c r="H33" s="5">
        <f t="shared" si="1"/>
        <v>-953.17803287246625</v>
      </c>
      <c r="I33" s="5">
        <f t="shared" si="0"/>
        <v>1276.5317641353761</v>
      </c>
      <c r="J33" s="5"/>
    </row>
    <row r="34" spans="1:11" x14ac:dyDescent="0.2">
      <c r="A34" s="2" t="s">
        <v>22</v>
      </c>
      <c r="B34" s="61">
        <v>2</v>
      </c>
      <c r="C34" s="27">
        <f>Aflæsninger!E17</f>
        <v>245</v>
      </c>
      <c r="D34" s="5"/>
      <c r="E34" s="5">
        <f>C34*$D$8</f>
        <v>14753.891500584092</v>
      </c>
      <c r="F34" s="5">
        <f>$E$34/$B$36*B34</f>
        <v>3625.0347667282776</v>
      </c>
      <c r="G34" s="5">
        <f>'a conto bofæller'!D22</f>
        <v>3383</v>
      </c>
      <c r="H34" s="5">
        <f t="shared" si="1"/>
        <v>242.03476672827765</v>
      </c>
      <c r="I34" s="5">
        <f t="shared" si="0"/>
        <v>616.68201165960204</v>
      </c>
      <c r="J34" s="5">
        <f>C34/B36</f>
        <v>30.098280098280096</v>
      </c>
    </row>
    <row r="35" spans="1:11" x14ac:dyDescent="0.2">
      <c r="A35" s="12" t="s">
        <v>13</v>
      </c>
      <c r="B35" s="62">
        <v>2</v>
      </c>
      <c r="C35" s="54"/>
      <c r="D35" s="13"/>
      <c r="E35" s="13"/>
      <c r="F35" s="5">
        <f>$E$34/$B$36*B35</f>
        <v>3625.0347667282776</v>
      </c>
      <c r="G35" s="13">
        <f>'a conto bofæller'!D23</f>
        <v>3383</v>
      </c>
      <c r="H35" s="13">
        <f t="shared" si="1"/>
        <v>242.03476672827765</v>
      </c>
      <c r="I35" s="13">
        <f t="shared" si="0"/>
        <v>616.68201165960204</v>
      </c>
      <c r="J35" s="13"/>
    </row>
    <row r="36" spans="1:11" x14ac:dyDescent="0.2">
      <c r="A36" s="2" t="s">
        <v>32</v>
      </c>
      <c r="B36" s="99">
        <f>SUM(B33:B35)</f>
        <v>8.14</v>
      </c>
      <c r="C36" s="37"/>
      <c r="D36" s="5"/>
      <c r="E36" s="5"/>
      <c r="F36" s="11"/>
      <c r="G36" s="5"/>
      <c r="H36" s="5"/>
      <c r="I36" s="5"/>
      <c r="J36" s="5"/>
    </row>
    <row r="37" spans="1:11" x14ac:dyDescent="0.2">
      <c r="A37" s="2" t="s">
        <v>14</v>
      </c>
      <c r="B37" s="61">
        <v>4</v>
      </c>
      <c r="C37" s="27"/>
      <c r="D37" s="5"/>
      <c r="E37" s="5"/>
      <c r="F37" s="5">
        <f>$E$38/$B$40*B37</f>
        <v>8743.5941449978745</v>
      </c>
      <c r="G37" s="5">
        <f>'a conto bofæller'!D24</f>
        <v>7072</v>
      </c>
      <c r="H37" s="5">
        <f>F37-G37</f>
        <v>1671.5941449978745</v>
      </c>
      <c r="I37" s="5">
        <f t="shared" si="0"/>
        <v>1487.438762232588</v>
      </c>
      <c r="J37" s="5"/>
    </row>
    <row r="38" spans="1:11" x14ac:dyDescent="0.2">
      <c r="A38" s="2" t="s">
        <v>15</v>
      </c>
      <c r="B38" s="61">
        <v>1.78</v>
      </c>
      <c r="C38" s="27">
        <f>Aflæsninger!E18</f>
        <v>355</v>
      </c>
      <c r="D38" s="5"/>
      <c r="E38" s="5">
        <f>C38*$D$8</f>
        <v>21378.087684519807</v>
      </c>
      <c r="F38" s="5">
        <f>$E$38/$B$40*B38</f>
        <v>3890.8993945240541</v>
      </c>
      <c r="G38" s="5">
        <f>'a conto bofæller'!D25</f>
        <v>3534</v>
      </c>
      <c r="H38" s="5">
        <f>F38-G38</f>
        <v>356.89939452405406</v>
      </c>
      <c r="I38" s="5">
        <f t="shared" si="0"/>
        <v>661.91024919350161</v>
      </c>
      <c r="J38" s="5">
        <f>C38/B40</f>
        <v>36.298568507157462</v>
      </c>
    </row>
    <row r="39" spans="1:11" x14ac:dyDescent="0.2">
      <c r="A39" s="2" t="s">
        <v>16</v>
      </c>
      <c r="B39" s="61">
        <v>4</v>
      </c>
      <c r="C39" s="27"/>
      <c r="D39" s="5"/>
      <c r="E39" s="5"/>
      <c r="F39" s="5">
        <f>$E$38/$B$40*B39</f>
        <v>8743.5941449978745</v>
      </c>
      <c r="G39" s="13">
        <f>'a conto bofæller'!D26</f>
        <v>6643</v>
      </c>
      <c r="H39" s="13">
        <f>F39-G39</f>
        <v>2100.5941449978745</v>
      </c>
      <c r="I39" s="13">
        <f t="shared" si="0"/>
        <v>1487.438762232588</v>
      </c>
      <c r="J39" s="13"/>
    </row>
    <row r="40" spans="1:11" x14ac:dyDescent="0.2">
      <c r="A40" s="9" t="s">
        <v>32</v>
      </c>
      <c r="B40" s="107">
        <f>SUM(B37:B39)</f>
        <v>9.7800000000000011</v>
      </c>
      <c r="C40" s="53"/>
      <c r="D40" s="11"/>
      <c r="E40" s="11"/>
      <c r="F40" s="11"/>
      <c r="G40" s="5"/>
      <c r="H40" s="5"/>
      <c r="I40" s="5"/>
      <c r="J40" s="5"/>
    </row>
    <row r="41" spans="1:11" x14ac:dyDescent="0.2">
      <c r="A41" s="2" t="s">
        <v>17</v>
      </c>
      <c r="B41" s="61">
        <v>4</v>
      </c>
      <c r="C41" s="27"/>
      <c r="D41" s="5"/>
      <c r="E41" s="5"/>
      <c r="F41" s="5">
        <f>$E$42/$B$44*B41</f>
        <v>7756.3315317356364</v>
      </c>
      <c r="G41" s="5">
        <f>'a conto bofæller'!D27</f>
        <v>7588</v>
      </c>
      <c r="H41" s="5">
        <f>F41-G41</f>
        <v>168.33153173563642</v>
      </c>
      <c r="I41" s="5">
        <f t="shared" si="0"/>
        <v>1319.4880711189796</v>
      </c>
      <c r="J41" s="5"/>
    </row>
    <row r="42" spans="1:11" x14ac:dyDescent="0.2">
      <c r="A42" s="2" t="s">
        <v>18</v>
      </c>
      <c r="B42" s="61">
        <v>2</v>
      </c>
      <c r="C42" s="27">
        <f>Aflæsninger!E19</f>
        <v>322</v>
      </c>
      <c r="D42" s="5"/>
      <c r="E42" s="5">
        <f>C42*$D$8</f>
        <v>19390.828829339091</v>
      </c>
      <c r="F42" s="5">
        <f>$E$42/$B$44*B42</f>
        <v>3878.1657658678182</v>
      </c>
      <c r="G42" s="5">
        <f>'a conto bofæller'!D28</f>
        <v>3122</v>
      </c>
      <c r="H42" s="5">
        <f>F42-G42</f>
        <v>756.16576586781821</v>
      </c>
      <c r="I42" s="5">
        <f t="shared" si="0"/>
        <v>659.74403555948982</v>
      </c>
      <c r="J42" s="5">
        <f>C42/B44</f>
        <v>32.200000000000003</v>
      </c>
    </row>
    <row r="43" spans="1:11" x14ac:dyDescent="0.2">
      <c r="A43" s="12" t="s">
        <v>19</v>
      </c>
      <c r="B43" s="62">
        <v>4</v>
      </c>
      <c r="C43" s="54"/>
      <c r="D43" s="13"/>
      <c r="E43" s="13"/>
      <c r="F43" s="13">
        <f>$E$42/$B$44*B43</f>
        <v>7756.3315317356364</v>
      </c>
      <c r="G43" s="13">
        <f>'a conto bofæller'!D29</f>
        <v>7588</v>
      </c>
      <c r="H43" s="13">
        <f>F43-G43</f>
        <v>168.33153173563642</v>
      </c>
      <c r="I43" s="13">
        <f t="shared" si="0"/>
        <v>1319.4880711189796</v>
      </c>
      <c r="J43" s="13"/>
    </row>
    <row r="44" spans="1:11" x14ac:dyDescent="0.2">
      <c r="A44" s="2" t="s">
        <v>32</v>
      </c>
      <c r="B44" s="37">
        <f>SUM(B41:B43)</f>
        <v>10</v>
      </c>
      <c r="C44" s="37"/>
      <c r="D44" s="5"/>
      <c r="E44" s="5" t="s">
        <v>3</v>
      </c>
      <c r="F44" s="5"/>
      <c r="G44" s="5"/>
      <c r="H44" s="5"/>
      <c r="I44" s="5"/>
      <c r="J44" s="5"/>
    </row>
    <row r="45" spans="1:11" x14ac:dyDescent="0.2">
      <c r="A45" s="2" t="s">
        <v>20</v>
      </c>
      <c r="B45" s="61">
        <v>1</v>
      </c>
      <c r="C45" s="27">
        <f>Aflæsninger!E20</f>
        <v>28</v>
      </c>
      <c r="D45" s="5">
        <f>Aflæsninger!E27</f>
        <v>44.099999999999795</v>
      </c>
      <c r="E45" s="5"/>
      <c r="F45" s="5">
        <f>($C45+D$45*B45/B$47)*$D$8</f>
        <v>2167.264186265922</v>
      </c>
      <c r="G45" s="5">
        <f>'a conto bofæller'!D30</f>
        <v>2338</v>
      </c>
      <c r="H45" s="5">
        <f>F45-G45</f>
        <v>-170.73581373407796</v>
      </c>
      <c r="I45" s="5">
        <f t="shared" si="0"/>
        <v>368.68966070373153</v>
      </c>
      <c r="J45" s="25">
        <f>($C45+D$45*B45/B$47)/B45</f>
        <v>35.989130434782574</v>
      </c>
      <c r="K45" t="s">
        <v>46</v>
      </c>
    </row>
    <row r="46" spans="1:11" x14ac:dyDescent="0.2">
      <c r="A46" s="12" t="s">
        <v>21</v>
      </c>
      <c r="B46" s="62">
        <v>4.5199999999999996</v>
      </c>
      <c r="C46" s="54">
        <f>Aflæsninger!E21</f>
        <v>32</v>
      </c>
      <c r="D46" s="13"/>
      <c r="E46" s="13"/>
      <c r="F46" s="13">
        <f>($C46+D$45*B46/B$47)*$D$8</f>
        <v>4101.6342023495927</v>
      </c>
      <c r="G46" s="13">
        <f>'a conto bofæller'!D31</f>
        <v>3321</v>
      </c>
      <c r="H46" s="13">
        <f>F46-G46</f>
        <v>780.63420234959267</v>
      </c>
      <c r="I46" s="13">
        <f t="shared" si="0"/>
        <v>697.75993714941694</v>
      </c>
      <c r="J46" s="76">
        <f>($C46+D$45*B46/B$47)/B46</f>
        <v>15.068776452481689</v>
      </c>
      <c r="K46" t="s">
        <v>46</v>
      </c>
    </row>
    <row r="47" spans="1:11" x14ac:dyDescent="0.2">
      <c r="A47" s="2" t="s">
        <v>32</v>
      </c>
      <c r="B47" s="37">
        <f>SUM(B45:B46)</f>
        <v>5.52</v>
      </c>
      <c r="C47" s="26"/>
      <c r="D47" s="5"/>
      <c r="E47" s="5"/>
      <c r="F47" s="5"/>
      <c r="G47" s="5"/>
      <c r="H47" s="5"/>
      <c r="I47" s="5"/>
      <c r="J47" s="5"/>
    </row>
    <row r="48" spans="1:11" x14ac:dyDescent="0.2">
      <c r="A48" s="79" t="s">
        <v>101</v>
      </c>
      <c r="B48" s="61">
        <v>3</v>
      </c>
      <c r="C48" s="25">
        <f>Aflæsninger!E29</f>
        <v>207</v>
      </c>
      <c r="D48" s="25">
        <f>-D45</f>
        <v>-44.099999999999795</v>
      </c>
      <c r="E48" s="5">
        <f>(C48+D48)*D8</f>
        <v>9809.8323487557209</v>
      </c>
      <c r="F48" s="25">
        <f>$E$48/$B$50*B48</f>
        <v>6924.5875402981565</v>
      </c>
      <c r="G48" s="5">
        <f>'a conto bofæller'!D32</f>
        <v>2850</v>
      </c>
      <c r="H48" s="5">
        <f>F48-G48</f>
        <v>4074.5875402981565</v>
      </c>
      <c r="I48" s="5">
        <f t="shared" si="0"/>
        <v>1177.9938260062954</v>
      </c>
      <c r="J48" s="25">
        <f>(C48+D48)/B50</f>
        <v>38.329411764705931</v>
      </c>
      <c r="K48" s="26" t="s">
        <v>103</v>
      </c>
    </row>
    <row r="49" spans="1:11" x14ac:dyDescent="0.2">
      <c r="A49" s="79" t="s">
        <v>102</v>
      </c>
      <c r="B49" s="61">
        <v>1.25</v>
      </c>
      <c r="C49" s="27"/>
      <c r="D49" s="5"/>
      <c r="E49" s="5"/>
      <c r="F49" s="25">
        <f>$E$48/$B$50*B49</f>
        <v>2885.2448084575649</v>
      </c>
      <c r="G49" s="5">
        <f>'a conto bofæller'!D33</f>
        <v>600</v>
      </c>
      <c r="H49" s="13">
        <f>F49-G49</f>
        <v>2285.2448084575649</v>
      </c>
      <c r="I49" s="13">
        <f t="shared" si="0"/>
        <v>490.83076083595643</v>
      </c>
      <c r="J49" s="13"/>
    </row>
    <row r="50" spans="1:11" x14ac:dyDescent="0.2">
      <c r="A50" s="14" t="s">
        <v>32</v>
      </c>
      <c r="B50" s="106">
        <f>SUM(B48:B49)</f>
        <v>4.25</v>
      </c>
      <c r="C50" s="10"/>
      <c r="D50" s="11"/>
      <c r="E50" s="11"/>
      <c r="F50" s="11"/>
      <c r="G50" s="11"/>
      <c r="H50" s="5"/>
      <c r="I50" s="5"/>
      <c r="J50" s="5"/>
    </row>
    <row r="51" spans="1:11" x14ac:dyDescent="0.2">
      <c r="A51" s="1"/>
      <c r="B51" s="32"/>
      <c r="C51" s="4"/>
      <c r="D51" s="5"/>
      <c r="E51" s="5"/>
      <c r="F51" s="5"/>
      <c r="G51" s="5"/>
      <c r="H51" s="5"/>
      <c r="I51" s="5"/>
      <c r="J51" s="5"/>
    </row>
    <row r="52" spans="1:11" ht="14.25" x14ac:dyDescent="0.2">
      <c r="A52" s="18" t="s">
        <v>34</v>
      </c>
      <c r="B52" s="18"/>
      <c r="C52" s="24">
        <f>SUM(C14:C49)</f>
        <v>2385.9</v>
      </c>
      <c r="D52" s="25" t="s">
        <v>25</v>
      </c>
      <c r="E52" s="5">
        <f>SUM(F14:F49)</f>
        <v>143678.8152295656</v>
      </c>
      <c r="F52" t="s">
        <v>33</v>
      </c>
      <c r="G52" s="5">
        <f>SUM(G14:G49)</f>
        <v>134184</v>
      </c>
      <c r="H52" s="5">
        <f>SUM(H14:H49)</f>
        <v>9494.8152295656437</v>
      </c>
      <c r="I52" s="55"/>
    </row>
    <row r="53" spans="1:11" ht="14.25" x14ac:dyDescent="0.2">
      <c r="A53" s="129" t="s">
        <v>35</v>
      </c>
      <c r="B53" s="129"/>
      <c r="C53" s="115">
        <f>Aflæsninger!E23</f>
        <v>439</v>
      </c>
      <c r="D53" s="76" t="s">
        <v>25</v>
      </c>
      <c r="E53" s="13">
        <f>C53*$D$8</f>
        <v>26436.56477043435</v>
      </c>
      <c r="F53" s="77" t="s">
        <v>33</v>
      </c>
      <c r="G53" s="5"/>
      <c r="H53" s="5"/>
      <c r="I53" s="24"/>
      <c r="J53" s="5"/>
    </row>
    <row r="54" spans="1:11" ht="15" thickBot="1" x14ac:dyDescent="0.25">
      <c r="A54" s="18" t="s">
        <v>39</v>
      </c>
      <c r="B54" s="18"/>
      <c r="C54" s="116">
        <f>C52+C53</f>
        <v>2824.9</v>
      </c>
      <c r="D54" s="25" t="s">
        <v>25</v>
      </c>
      <c r="E54" s="5">
        <f>E52+E53</f>
        <v>170115.37999999995</v>
      </c>
      <c r="F54" s="20" t="s">
        <v>33</v>
      </c>
      <c r="G54" s="5"/>
      <c r="H54" s="30"/>
      <c r="I54" s="24"/>
      <c r="J54" s="30"/>
      <c r="K54" s="30"/>
    </row>
    <row r="55" spans="1:11" s="29" customFormat="1" ht="15" thickTop="1" x14ac:dyDescent="0.2">
      <c r="A55" s="29" t="s">
        <v>40</v>
      </c>
      <c r="C55" s="117">
        <f>D4-C54</f>
        <v>0</v>
      </c>
      <c r="D55" s="30" t="s">
        <v>25</v>
      </c>
      <c r="E55" s="30">
        <f>D6-E54</f>
        <v>0</v>
      </c>
      <c r="F55" s="31" t="s">
        <v>33</v>
      </c>
      <c r="I55" s="24"/>
    </row>
    <row r="56" spans="1:11" x14ac:dyDescent="0.2">
      <c r="A56" s="2"/>
      <c r="B56" s="1"/>
      <c r="C56" s="1"/>
      <c r="D56" s="5"/>
      <c r="E56" s="5"/>
      <c r="F56" s="5"/>
      <c r="G56" s="5"/>
      <c r="H56" s="5"/>
      <c r="I56" s="5"/>
      <c r="J56" s="5"/>
    </row>
    <row r="57" spans="1:11" ht="14.25" x14ac:dyDescent="0.2">
      <c r="A57" s="26" t="s">
        <v>157</v>
      </c>
    </row>
    <row r="59" spans="1:11" ht="14.25" x14ac:dyDescent="0.2">
      <c r="A59" s="75" t="s">
        <v>108</v>
      </c>
      <c r="B59" s="65"/>
      <c r="C59" s="76">
        <f>C53</f>
        <v>439</v>
      </c>
      <c r="D59" s="54" t="s">
        <v>25</v>
      </c>
      <c r="E59" s="76">
        <f>C59*$D$8</f>
        <v>26436.56477043435</v>
      </c>
      <c r="F59" s="77" t="s">
        <v>33</v>
      </c>
      <c r="G59" s="5"/>
      <c r="H59" s="5"/>
      <c r="I59" s="24"/>
      <c r="K59" s="26"/>
    </row>
    <row r="60" spans="1:11" ht="14.25" x14ac:dyDescent="0.2">
      <c r="A60" t="s">
        <v>67</v>
      </c>
      <c r="C60" s="61">
        <v>173</v>
      </c>
      <c r="D60" s="108" t="s">
        <v>25</v>
      </c>
      <c r="E60" s="25">
        <f>C60*$D$8</f>
        <v>10418.053998371624</v>
      </c>
      <c r="F60" t="s">
        <v>33</v>
      </c>
      <c r="G60" s="74">
        <v>9853.9185740487774</v>
      </c>
      <c r="H60" s="5">
        <f>E60-G60</f>
        <v>564.13542432284703</v>
      </c>
      <c r="K60" t="s">
        <v>84</v>
      </c>
    </row>
    <row r="61" spans="1:11" ht="15" thickBot="1" x14ac:dyDescent="0.25">
      <c r="A61" s="75" t="s">
        <v>68</v>
      </c>
      <c r="B61" s="65"/>
      <c r="C61" s="76">
        <f>C59-C60</f>
        <v>266</v>
      </c>
      <c r="D61" s="54" t="s">
        <v>25</v>
      </c>
      <c r="E61" s="76">
        <f>C61*$D$8</f>
        <v>16018.510772062727</v>
      </c>
      <c r="F61" s="77" t="s">
        <v>33</v>
      </c>
      <c r="G61" s="13">
        <f>'a conto fælleshuset'!J16</f>
        <v>12906.9</v>
      </c>
      <c r="H61" s="64">
        <f>E61-G61</f>
        <v>3111.6107720627278</v>
      </c>
      <c r="I61" s="64">
        <f>(E61)/6*(1+K$8)</f>
        <v>2725.0297120935443</v>
      </c>
    </row>
    <row r="62" spans="1:11" ht="13.5" thickTop="1" x14ac:dyDescent="0.2">
      <c r="A62" s="28"/>
      <c r="C62" s="25"/>
      <c r="D62" s="27"/>
      <c r="E62" s="25"/>
      <c r="F62" s="20"/>
      <c r="G62" s="5"/>
      <c r="H62" s="5"/>
      <c r="I62" s="24"/>
    </row>
    <row r="63" spans="1:11" x14ac:dyDescent="0.2">
      <c r="A63" s="21"/>
    </row>
    <row r="64" spans="1:11" s="72" customFormat="1" ht="13.5" thickBot="1" x14ac:dyDescent="0.25">
      <c r="A64" s="72" t="s">
        <v>40</v>
      </c>
      <c r="E64" s="73"/>
      <c r="G64" s="30">
        <f>G52+G61+G60</f>
        <v>156944.81857404878</v>
      </c>
      <c r="H64" s="30">
        <f>H52+H61+H60</f>
        <v>13170.561425951219</v>
      </c>
      <c r="I64" s="118"/>
      <c r="J64" s="119">
        <f>G64+H64-D6</f>
        <v>0</v>
      </c>
    </row>
    <row r="65" spans="1:1" ht="13.5" thickTop="1" x14ac:dyDescent="0.2"/>
    <row r="68" spans="1:1" x14ac:dyDescent="0.2">
      <c r="A68" t="s">
        <v>65</v>
      </c>
    </row>
  </sheetData>
  <protectedRanges>
    <protectedRange sqref="C45:C49" name="Område11_1_1_1"/>
    <protectedRange sqref="C41:C43" name="Område10_1_1_1"/>
    <protectedRange sqref="C37:C39" name="Område9_1_1_1"/>
    <protectedRange sqref="C33:C35" name="Område8_1_1_1"/>
    <protectedRange sqref="C29:C31" name="Område7_1_1_1"/>
    <protectedRange sqref="C25:C27" name="Område6_1_1_1"/>
    <protectedRange sqref="C14:C16" name="Område3_1_1_1"/>
    <protectedRange sqref="C18:C20" name="Område4_1_1_1"/>
    <protectedRange sqref="C22:C23" name="Område5_1_1_1"/>
    <protectedRange sqref="A1" name="Område12"/>
    <protectedRange sqref="B45:B49" name="Område11_1_1_1_1"/>
    <protectedRange sqref="B41:B43" name="Område10_1_1_1_1"/>
    <protectedRange sqref="B37:B39" name="Område9_1_1_1_1"/>
    <protectedRange sqref="B33:B35" name="Område8_1_1_1_1"/>
    <protectedRange sqref="B29:B31" name="Område7_1_1_1_1"/>
    <protectedRange sqref="B25:B27" name="Område6_1_1_1_1"/>
    <protectedRange sqref="B14:B16" name="Område3_1_1_1_1"/>
    <protectedRange sqref="B18:B20" name="Område4_1_1_1_1"/>
    <protectedRange sqref="B22:B23" name="Område5_1_1_1_1"/>
    <protectedRange sqref="J4:J6" name="Område13_1_1"/>
  </protectedRanges>
  <mergeCells count="2">
    <mergeCell ref="A53:B53"/>
    <mergeCell ref="A7:B7"/>
  </mergeCells>
  <phoneticPr fontId="0" type="noConversion"/>
  <pageMargins left="0.75" right="0.75" top="1" bottom="1" header="0.5" footer="0.5"/>
  <pageSetup paperSize="9" scale="60" orientation="portrait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workbookViewId="0">
      <selection activeCell="D26" sqref="D26"/>
    </sheetView>
  </sheetViews>
  <sheetFormatPr defaultColWidth="9.140625" defaultRowHeight="12.75" x14ac:dyDescent="0.2"/>
  <cols>
    <col min="1" max="2" width="10.28515625" style="78" bestFit="1" customWidth="1"/>
    <col min="3" max="3" width="9.140625" style="78"/>
    <col min="4" max="4" width="8.7109375" style="78" bestFit="1" customWidth="1"/>
    <col min="5" max="16384" width="9.140625" style="78"/>
  </cols>
  <sheetData>
    <row r="1" spans="1:8" x14ac:dyDescent="0.2">
      <c r="A1" s="34" t="s">
        <v>105</v>
      </c>
      <c r="B1" s="26"/>
      <c r="C1" s="26"/>
      <c r="D1" s="71"/>
      <c r="E1" s="26"/>
      <c r="F1" s="26" t="s">
        <v>116</v>
      </c>
      <c r="G1" s="26"/>
      <c r="H1" s="26"/>
    </row>
    <row r="2" spans="1:8" x14ac:dyDescent="0.2">
      <c r="C2" s="97"/>
      <c r="D2" s="97"/>
    </row>
    <row r="3" spans="1:8" x14ac:dyDescent="0.2">
      <c r="A3" s="34" t="s">
        <v>131</v>
      </c>
      <c r="B3" s="26"/>
      <c r="C3" s="26"/>
      <c r="D3" s="71">
        <f>SUM(D5:D6)</f>
        <v>4.13972602739726</v>
      </c>
    </row>
    <row r="4" spans="1:8" x14ac:dyDescent="0.2">
      <c r="A4" s="26" t="s">
        <v>85</v>
      </c>
      <c r="B4" s="26" t="s">
        <v>86</v>
      </c>
      <c r="C4" s="37" t="s">
        <v>24</v>
      </c>
      <c r="D4" s="37" t="s">
        <v>87</v>
      </c>
    </row>
    <row r="5" spans="1:8" x14ac:dyDescent="0.2">
      <c r="A5" s="87">
        <v>43466</v>
      </c>
      <c r="B5" s="87">
        <v>43677</v>
      </c>
      <c r="C5" s="26">
        <v>5</v>
      </c>
      <c r="D5" s="88">
        <f>C5*(B5-A5)/365</f>
        <v>2.8904109589041096</v>
      </c>
    </row>
    <row r="6" spans="1:8" x14ac:dyDescent="0.2">
      <c r="A6" s="87">
        <v>43678</v>
      </c>
      <c r="B6" s="87">
        <v>43830</v>
      </c>
      <c r="C6" s="26">
        <v>3</v>
      </c>
      <c r="D6" s="88">
        <f>C6*(B6-A6)/365</f>
        <v>1.2493150684931507</v>
      </c>
    </row>
    <row r="7" spans="1:8" x14ac:dyDescent="0.2">
      <c r="A7" s="98"/>
      <c r="B7" s="86"/>
      <c r="D7" s="85"/>
    </row>
    <row r="8" spans="1:8" x14ac:dyDescent="0.2">
      <c r="A8" s="34" t="s">
        <v>130</v>
      </c>
      <c r="B8" s="26"/>
      <c r="C8" s="26"/>
      <c r="D8" s="71">
        <f>SUM(D10:D13)</f>
        <v>3.1780821917808217</v>
      </c>
    </row>
    <row r="9" spans="1:8" x14ac:dyDescent="0.2">
      <c r="A9" s="26" t="s">
        <v>85</v>
      </c>
      <c r="B9" s="26" t="s">
        <v>86</v>
      </c>
      <c r="C9" s="37" t="s">
        <v>24</v>
      </c>
      <c r="D9" s="37" t="s">
        <v>87</v>
      </c>
    </row>
    <row r="10" spans="1:8" x14ac:dyDescent="0.2">
      <c r="A10" s="87">
        <v>43466</v>
      </c>
      <c r="B10" s="87">
        <v>43687</v>
      </c>
      <c r="C10" s="26">
        <v>3</v>
      </c>
      <c r="D10" s="88">
        <f>C10*(B10-A10)/365</f>
        <v>1.8164383561643835</v>
      </c>
    </row>
    <row r="11" spans="1:8" x14ac:dyDescent="0.2">
      <c r="A11" s="87">
        <v>43688</v>
      </c>
      <c r="B11" s="87">
        <v>43751</v>
      </c>
      <c r="C11" s="26">
        <v>4</v>
      </c>
      <c r="D11" s="88">
        <f>C11*(B11-A11)/365</f>
        <v>0.69041095890410964</v>
      </c>
      <c r="F11" s="26"/>
    </row>
    <row r="12" spans="1:8" x14ac:dyDescent="0.2">
      <c r="A12" s="87">
        <v>43752</v>
      </c>
      <c r="B12" s="87">
        <v>43815</v>
      </c>
      <c r="C12" s="26">
        <v>3</v>
      </c>
      <c r="D12" s="88">
        <f>C12*(B12-A12)/365</f>
        <v>0.51780821917808217</v>
      </c>
    </row>
    <row r="13" spans="1:8" x14ac:dyDescent="0.2">
      <c r="A13" s="87">
        <v>43816</v>
      </c>
      <c r="B13" s="87">
        <v>43830</v>
      </c>
      <c r="C13" s="26">
        <v>4</v>
      </c>
      <c r="D13" s="88">
        <f>C13*(B13-A13)/365</f>
        <v>0.15342465753424658</v>
      </c>
    </row>
    <row r="15" spans="1:8" x14ac:dyDescent="0.2">
      <c r="A15" s="34" t="s">
        <v>135</v>
      </c>
      <c r="B15" s="26"/>
      <c r="C15" s="26"/>
      <c r="D15" s="71">
        <f>SUM(D17:D18)</f>
        <v>1.7753424657534247</v>
      </c>
    </row>
    <row r="16" spans="1:8" x14ac:dyDescent="0.2">
      <c r="A16" s="26" t="s">
        <v>85</v>
      </c>
      <c r="B16" s="26" t="s">
        <v>86</v>
      </c>
      <c r="C16" s="37" t="s">
        <v>24</v>
      </c>
      <c r="D16" s="37" t="s">
        <v>87</v>
      </c>
    </row>
    <row r="17" spans="1:6" x14ac:dyDescent="0.2">
      <c r="A17" s="87">
        <v>43466</v>
      </c>
      <c r="B17" s="87">
        <v>43751</v>
      </c>
      <c r="C17" s="26">
        <v>2</v>
      </c>
      <c r="D17" s="88">
        <f>C17*(B17-A17)/365</f>
        <v>1.5616438356164384</v>
      </c>
    </row>
    <row r="18" spans="1:6" x14ac:dyDescent="0.2">
      <c r="A18" s="87">
        <v>43752</v>
      </c>
      <c r="B18" s="87">
        <v>43830</v>
      </c>
      <c r="C18" s="26">
        <v>1</v>
      </c>
      <c r="D18" s="88">
        <f>C18*(B18-A18)/365</f>
        <v>0.21369863013698631</v>
      </c>
    </row>
    <row r="20" spans="1:6" x14ac:dyDescent="0.2">
      <c r="A20" s="34" t="s">
        <v>141</v>
      </c>
      <c r="B20" s="26"/>
      <c r="C20" s="26"/>
      <c r="D20" s="71">
        <f>SUM(D22:D23)</f>
        <v>4.5178082191780824</v>
      </c>
    </row>
    <row r="21" spans="1:6" x14ac:dyDescent="0.2">
      <c r="A21" s="26" t="s">
        <v>85</v>
      </c>
      <c r="B21" s="26" t="s">
        <v>86</v>
      </c>
      <c r="C21" s="37" t="s">
        <v>24</v>
      </c>
      <c r="D21" s="37" t="s">
        <v>87</v>
      </c>
    </row>
    <row r="22" spans="1:6" x14ac:dyDescent="0.2">
      <c r="A22" s="87">
        <v>43466</v>
      </c>
      <c r="B22" s="87">
        <v>43632</v>
      </c>
      <c r="C22" s="26">
        <v>4</v>
      </c>
      <c r="D22" s="88">
        <f>C22*(B22-A22)/365</f>
        <v>1.8191780821917809</v>
      </c>
    </row>
    <row r="23" spans="1:6" x14ac:dyDescent="0.2">
      <c r="A23" s="87">
        <v>43633</v>
      </c>
      <c r="B23" s="87">
        <v>43830</v>
      </c>
      <c r="C23" s="26">
        <v>5</v>
      </c>
      <c r="D23" s="88">
        <f>C23*(B23-A23)/365</f>
        <v>2.6986301369863015</v>
      </c>
      <c r="F23" s="26" t="s">
        <v>151</v>
      </c>
    </row>
    <row r="25" spans="1:6" x14ac:dyDescent="0.2">
      <c r="A25" s="34" t="s">
        <v>166</v>
      </c>
      <c r="B25" s="26"/>
      <c r="C25" s="26"/>
      <c r="D25" s="71">
        <f>SUM(D27:D28)</f>
        <v>1.2493150684931507</v>
      </c>
    </row>
    <row r="26" spans="1:6" x14ac:dyDescent="0.2">
      <c r="A26" s="26" t="s">
        <v>85</v>
      </c>
      <c r="B26" s="26" t="s">
        <v>86</v>
      </c>
      <c r="C26" s="37" t="s">
        <v>24</v>
      </c>
      <c r="D26" s="37" t="s">
        <v>87</v>
      </c>
    </row>
    <row r="27" spans="1:6" x14ac:dyDescent="0.2">
      <c r="A27" s="87">
        <v>43466</v>
      </c>
      <c r="B27" s="87">
        <v>43601</v>
      </c>
      <c r="C27" s="26">
        <v>0</v>
      </c>
      <c r="D27" s="88">
        <f>C27*(B27-A27)/365</f>
        <v>0</v>
      </c>
    </row>
    <row r="28" spans="1:6" x14ac:dyDescent="0.2">
      <c r="A28" s="87">
        <v>43602</v>
      </c>
      <c r="B28" s="87">
        <v>43830</v>
      </c>
      <c r="C28" s="26">
        <v>2</v>
      </c>
      <c r="D28" s="88">
        <f>C28*(B28-A28)/365</f>
        <v>1.2493150684931507</v>
      </c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1"/>
  <sheetViews>
    <sheetView workbookViewId="0">
      <selection activeCell="M17" sqref="M17"/>
    </sheetView>
  </sheetViews>
  <sheetFormatPr defaultRowHeight="12.75" x14ac:dyDescent="0.2"/>
  <cols>
    <col min="1" max="1" width="23.28515625" customWidth="1"/>
    <col min="2" max="2" width="2.7109375" customWidth="1"/>
    <col min="3" max="4" width="12.7109375" customWidth="1"/>
    <col min="5" max="5" width="13.7109375" customWidth="1"/>
    <col min="6" max="6" width="15.7109375" customWidth="1"/>
    <col min="9" max="9" width="8.5703125" customWidth="1"/>
    <col min="10" max="10" width="8.42578125" customWidth="1"/>
    <col min="12" max="12" width="10.7109375" customWidth="1"/>
    <col min="13" max="13" width="11.140625" customWidth="1"/>
  </cols>
  <sheetData>
    <row r="1" spans="1:15" ht="18" x14ac:dyDescent="0.25">
      <c r="A1" s="67" t="s">
        <v>89</v>
      </c>
    </row>
    <row r="2" spans="1:15" ht="13.5" thickBot="1" x14ac:dyDescent="0.25">
      <c r="L2" s="121"/>
      <c r="M2" s="121"/>
      <c r="N2" s="122"/>
      <c r="O2" s="126"/>
    </row>
    <row r="3" spans="1:15" x14ac:dyDescent="0.2">
      <c r="A3" s="38"/>
      <c r="B3" s="39"/>
      <c r="C3" s="59" t="s">
        <v>48</v>
      </c>
      <c r="D3" s="59" t="s">
        <v>48</v>
      </c>
      <c r="E3" s="59" t="s">
        <v>91</v>
      </c>
      <c r="F3" s="59" t="s">
        <v>49</v>
      </c>
      <c r="G3" s="40"/>
      <c r="H3" s="40"/>
      <c r="J3" s="41"/>
      <c r="L3" s="121"/>
      <c r="M3" s="121"/>
      <c r="N3" s="122"/>
      <c r="O3" s="127"/>
    </row>
    <row r="4" spans="1:15" x14ac:dyDescent="0.2">
      <c r="A4" s="42"/>
      <c r="B4" s="43"/>
      <c r="C4" s="63">
        <v>43466</v>
      </c>
      <c r="D4" s="63">
        <v>43831</v>
      </c>
      <c r="E4" s="60"/>
      <c r="F4" s="60" t="s">
        <v>40</v>
      </c>
      <c r="L4" s="120"/>
      <c r="M4" s="124"/>
      <c r="N4" s="123"/>
      <c r="O4" s="127"/>
    </row>
    <row r="5" spans="1:15" x14ac:dyDescent="0.2">
      <c r="A5" s="44"/>
      <c r="C5" s="34"/>
      <c r="D5" s="34"/>
      <c r="F5" s="45"/>
      <c r="L5" s="120"/>
      <c r="M5" s="121"/>
      <c r="N5" s="122"/>
      <c r="O5" s="127"/>
    </row>
    <row r="6" spans="1:15" x14ac:dyDescent="0.2">
      <c r="A6" s="18" t="s">
        <v>50</v>
      </c>
      <c r="C6" s="92">
        <v>9689</v>
      </c>
      <c r="D6" s="92">
        <v>12669</v>
      </c>
      <c r="E6">
        <f>D6-C6+G6</f>
        <v>2980</v>
      </c>
      <c r="F6" s="45">
        <f>(D6-C6+G6)/(D$4-C$4)</f>
        <v>8.1643835616438363</v>
      </c>
      <c r="G6" s="17"/>
      <c r="H6" s="46"/>
      <c r="L6" s="120"/>
      <c r="M6" s="121"/>
      <c r="N6" s="122"/>
      <c r="O6" s="127"/>
    </row>
    <row r="7" spans="1:15" x14ac:dyDescent="0.2">
      <c r="A7" s="28" t="s">
        <v>51</v>
      </c>
      <c r="C7" s="92">
        <v>2784</v>
      </c>
      <c r="D7" s="92">
        <v>2795</v>
      </c>
      <c r="E7">
        <f>D7-C7</f>
        <v>11</v>
      </c>
      <c r="F7" s="45">
        <f>(D7-C7)/(D$4-C$4)</f>
        <v>3.0136986301369864E-2</v>
      </c>
      <c r="H7" s="46" t="s">
        <v>159</v>
      </c>
      <c r="I7" s="48"/>
      <c r="L7" s="120"/>
      <c r="M7" s="125"/>
      <c r="N7" s="122"/>
      <c r="O7" s="127"/>
    </row>
    <row r="8" spans="1:15" x14ac:dyDescent="0.2">
      <c r="A8" s="28" t="s">
        <v>111</v>
      </c>
      <c r="C8" s="34">
        <v>88.6</v>
      </c>
      <c r="D8" s="34">
        <v>143.69999999999999</v>
      </c>
      <c r="E8">
        <f>D8-C8</f>
        <v>55.099999999999994</v>
      </c>
      <c r="F8" s="45">
        <f>(D8-C8)/(D$4-C$4)</f>
        <v>0.15095890410958904</v>
      </c>
      <c r="H8" s="88" t="s">
        <v>112</v>
      </c>
      <c r="L8" s="125"/>
      <c r="M8" s="128"/>
      <c r="N8" s="122"/>
      <c r="O8" s="127"/>
    </row>
    <row r="9" spans="1:15" x14ac:dyDescent="0.2">
      <c r="A9" s="28"/>
      <c r="C9" s="26"/>
      <c r="D9" s="78"/>
      <c r="F9" s="45"/>
      <c r="H9" s="46"/>
      <c r="L9" s="46"/>
      <c r="N9" s="45"/>
      <c r="O9" s="101"/>
    </row>
    <row r="10" spans="1:15" x14ac:dyDescent="0.2">
      <c r="A10" s="28" t="s">
        <v>52</v>
      </c>
      <c r="C10" s="26"/>
      <c r="D10" s="78"/>
      <c r="F10" s="45"/>
      <c r="H10" s="46"/>
    </row>
    <row r="11" spans="1:15" x14ac:dyDescent="0.2">
      <c r="A11" s="28"/>
      <c r="C11" s="26"/>
      <c r="D11" s="78"/>
      <c r="F11" s="47"/>
      <c r="H11" s="46"/>
    </row>
    <row r="12" spans="1:15" x14ac:dyDescent="0.2">
      <c r="A12" s="57" t="s">
        <v>53</v>
      </c>
      <c r="B12" s="42"/>
      <c r="C12" s="83">
        <v>6354</v>
      </c>
      <c r="D12" s="83">
        <v>6674</v>
      </c>
      <c r="E12" s="42">
        <f t="shared" ref="E12:E23" si="0">D12-C12</f>
        <v>320</v>
      </c>
      <c r="F12" s="47">
        <f>(E12)/(D$4-C$4)</f>
        <v>0.87671232876712324</v>
      </c>
      <c r="H12" s="46"/>
    </row>
    <row r="13" spans="1:15" x14ac:dyDescent="0.2">
      <c r="A13" s="57" t="s">
        <v>162</v>
      </c>
      <c r="B13" s="42"/>
      <c r="C13" s="83">
        <v>5273</v>
      </c>
      <c r="D13" s="83">
        <v>5567</v>
      </c>
      <c r="E13" s="96">
        <f>D13-C13</f>
        <v>294</v>
      </c>
      <c r="F13" s="47">
        <f t="shared" ref="F13:F24" si="1">(E13)/(D$4-C$4)</f>
        <v>0.80547945205479454</v>
      </c>
      <c r="G13" s="3"/>
      <c r="H13" s="88" t="s">
        <v>113</v>
      </c>
    </row>
    <row r="14" spans="1:15" x14ac:dyDescent="0.2">
      <c r="A14" s="57" t="s">
        <v>54</v>
      </c>
      <c r="B14" s="42"/>
      <c r="C14" s="83">
        <v>3685</v>
      </c>
      <c r="D14" s="83">
        <v>3836</v>
      </c>
      <c r="E14" s="42">
        <f t="shared" si="0"/>
        <v>151</v>
      </c>
      <c r="F14" s="47">
        <f t="shared" si="1"/>
        <v>0.41369863013698632</v>
      </c>
      <c r="H14" s="46"/>
    </row>
    <row r="15" spans="1:15" x14ac:dyDescent="0.2">
      <c r="A15" s="57" t="s">
        <v>55</v>
      </c>
      <c r="B15" s="42"/>
      <c r="C15" s="83">
        <v>5683</v>
      </c>
      <c r="D15" s="83">
        <v>5872</v>
      </c>
      <c r="E15" s="42">
        <f t="shared" si="0"/>
        <v>189</v>
      </c>
      <c r="F15" s="47">
        <f t="shared" si="1"/>
        <v>0.51780821917808217</v>
      </c>
      <c r="H15" s="46"/>
    </row>
    <row r="16" spans="1:15" x14ac:dyDescent="0.2">
      <c r="A16" s="57" t="s">
        <v>56</v>
      </c>
      <c r="B16" s="42"/>
      <c r="C16" s="83">
        <v>5960</v>
      </c>
      <c r="D16" s="83">
        <v>6258</v>
      </c>
      <c r="E16" s="42">
        <f t="shared" si="0"/>
        <v>298</v>
      </c>
      <c r="F16" s="47">
        <f t="shared" si="1"/>
        <v>0.81643835616438354</v>
      </c>
      <c r="H16" s="46"/>
    </row>
    <row r="17" spans="1:13" x14ac:dyDescent="0.2">
      <c r="A17" s="56" t="s">
        <v>57</v>
      </c>
      <c r="B17" s="42"/>
      <c r="C17" s="83">
        <v>5112</v>
      </c>
      <c r="D17" s="83">
        <v>5357</v>
      </c>
      <c r="E17" s="42">
        <f t="shared" si="0"/>
        <v>245</v>
      </c>
      <c r="F17" s="47">
        <f t="shared" si="1"/>
        <v>0.67123287671232879</v>
      </c>
      <c r="H17" s="46"/>
    </row>
    <row r="18" spans="1:13" x14ac:dyDescent="0.2">
      <c r="A18" s="56" t="s">
        <v>58</v>
      </c>
      <c r="B18" s="42"/>
      <c r="C18" s="83">
        <v>5627</v>
      </c>
      <c r="D18" s="83">
        <v>5982</v>
      </c>
      <c r="E18" s="42">
        <f t="shared" si="0"/>
        <v>355</v>
      </c>
      <c r="F18" s="47">
        <f t="shared" si="1"/>
        <v>0.9726027397260274</v>
      </c>
      <c r="H18" s="46"/>
    </row>
    <row r="19" spans="1:13" x14ac:dyDescent="0.2">
      <c r="A19" s="56" t="s">
        <v>59</v>
      </c>
      <c r="B19" s="42"/>
      <c r="C19" s="83">
        <v>5164</v>
      </c>
      <c r="D19" s="83">
        <v>5486</v>
      </c>
      <c r="E19" s="42">
        <f t="shared" si="0"/>
        <v>322</v>
      </c>
      <c r="F19" s="47">
        <f t="shared" si="1"/>
        <v>0.88219178082191785</v>
      </c>
      <c r="H19" s="46"/>
    </row>
    <row r="20" spans="1:13" x14ac:dyDescent="0.2">
      <c r="A20" s="56">
        <v>24</v>
      </c>
      <c r="B20" s="42"/>
      <c r="C20" s="83">
        <v>45</v>
      </c>
      <c r="D20" s="83">
        <v>73</v>
      </c>
      <c r="E20" s="42">
        <f t="shared" si="0"/>
        <v>28</v>
      </c>
      <c r="F20" s="47">
        <f t="shared" si="1"/>
        <v>7.6712328767123292E-2</v>
      </c>
      <c r="H20" s="46"/>
    </row>
    <row r="21" spans="1:13" x14ac:dyDescent="0.2">
      <c r="A21" s="56">
        <v>25</v>
      </c>
      <c r="B21" s="42"/>
      <c r="C21" s="83">
        <v>44</v>
      </c>
      <c r="D21" s="83">
        <v>76</v>
      </c>
      <c r="E21" s="42">
        <f t="shared" si="0"/>
        <v>32</v>
      </c>
      <c r="F21" s="47">
        <f t="shared" si="1"/>
        <v>8.7671232876712329E-2</v>
      </c>
      <c r="H21" s="46"/>
    </row>
    <row r="22" spans="1:13" x14ac:dyDescent="0.2">
      <c r="A22" s="56" t="s">
        <v>160</v>
      </c>
      <c r="B22" s="42"/>
      <c r="C22" s="83">
        <v>8336</v>
      </c>
      <c r="D22" s="83">
        <v>8554</v>
      </c>
      <c r="E22" s="42">
        <f t="shared" si="0"/>
        <v>218</v>
      </c>
      <c r="F22" s="47">
        <f t="shared" si="1"/>
        <v>0.59726027397260273</v>
      </c>
      <c r="H22" s="46"/>
    </row>
    <row r="23" spans="1:13" x14ac:dyDescent="0.2">
      <c r="A23" s="28">
        <v>27</v>
      </c>
      <c r="C23" s="82">
        <v>14629</v>
      </c>
      <c r="D23" s="82">
        <v>15068</v>
      </c>
      <c r="E23">
        <f t="shared" si="0"/>
        <v>439</v>
      </c>
      <c r="F23" s="47">
        <f t="shared" si="1"/>
        <v>1.2027397260273973</v>
      </c>
      <c r="H23" s="46"/>
    </row>
    <row r="24" spans="1:13" ht="13.5" thickBot="1" x14ac:dyDescent="0.25">
      <c r="A24" s="58" t="s">
        <v>60</v>
      </c>
      <c r="B24" s="49"/>
      <c r="C24" s="84">
        <f>SUM(C12:C23)</f>
        <v>65912</v>
      </c>
      <c r="D24" s="84">
        <f>SUM(D12:D23)</f>
        <v>68803</v>
      </c>
      <c r="E24" s="50">
        <f>SUM(E12:E23)</f>
        <v>2891</v>
      </c>
      <c r="F24" s="51">
        <f t="shared" si="1"/>
        <v>7.9205479452054792</v>
      </c>
      <c r="H24" s="1"/>
    </row>
    <row r="25" spans="1:13" x14ac:dyDescent="0.2">
      <c r="A25" s="28"/>
      <c r="C25" s="112"/>
      <c r="D25" s="112"/>
    </row>
    <row r="26" spans="1:13" s="112" customFormat="1" x14ac:dyDescent="0.2">
      <c r="A26" s="28"/>
      <c r="D26" s="98">
        <v>43586</v>
      </c>
    </row>
    <row r="27" spans="1:13" x14ac:dyDescent="0.2">
      <c r="A27" s="28" t="s">
        <v>62</v>
      </c>
      <c r="C27" s="34">
        <v>500.6</v>
      </c>
      <c r="D27" s="114">
        <v>515.29999999999995</v>
      </c>
      <c r="E27" s="78">
        <f>(D27-C27)*3</f>
        <v>44.099999999999795</v>
      </c>
      <c r="F27" s="45">
        <f>(D27-C27)/(D$4-C$4)</f>
        <v>4.0273972602739537E-2</v>
      </c>
      <c r="H27" t="s">
        <v>63</v>
      </c>
    </row>
    <row r="28" spans="1:13" s="112" customFormat="1" x14ac:dyDescent="0.2">
      <c r="A28" s="28" t="s">
        <v>163</v>
      </c>
      <c r="E28" s="17">
        <f>E13-E8</f>
        <v>238.9</v>
      </c>
      <c r="F28" s="45"/>
    </row>
    <row r="29" spans="1:13" x14ac:dyDescent="0.2">
      <c r="A29" s="26" t="s">
        <v>164</v>
      </c>
      <c r="C29" s="112"/>
      <c r="D29" s="112"/>
      <c r="E29">
        <f>E22-E7</f>
        <v>207</v>
      </c>
      <c r="F29" s="45">
        <f>E29/(D$4-C$4)</f>
        <v>0.56712328767123288</v>
      </c>
      <c r="H29" s="46" t="s">
        <v>61</v>
      </c>
      <c r="M29">
        <f>$E$29-$E$27</f>
        <v>162.9000000000002</v>
      </c>
    </row>
    <row r="30" spans="1:13" ht="13.5" customHeight="1" x14ac:dyDescent="0.2">
      <c r="A30" s="28"/>
      <c r="C30" s="112"/>
      <c r="D30" s="112"/>
    </row>
    <row r="31" spans="1:13" ht="13.5" customHeight="1" x14ac:dyDescent="0.2">
      <c r="A31" s="28" t="s">
        <v>165</v>
      </c>
      <c r="E31" s="17">
        <f>E24-E7-E8</f>
        <v>2824.9</v>
      </c>
      <c r="F31" s="45">
        <f>F24-F7</f>
        <v>7.8904109589041092</v>
      </c>
    </row>
    <row r="32" spans="1:13" x14ac:dyDescent="0.2">
      <c r="A32" s="28" t="s">
        <v>90</v>
      </c>
      <c r="D32" s="17"/>
      <c r="E32" s="111">
        <f>E6-E24</f>
        <v>89</v>
      </c>
      <c r="F32" s="100">
        <f>F6-F24-F8</f>
        <v>9.2876712328768013E-2</v>
      </c>
      <c r="H32" s="46"/>
    </row>
    <row r="33" spans="1:6" x14ac:dyDescent="0.2">
      <c r="A33" s="28" t="s">
        <v>64</v>
      </c>
      <c r="E33" s="52">
        <f>(E24-E23-E14-E7)/8</f>
        <v>286.25</v>
      </c>
      <c r="F33" s="45">
        <f>(F24-F23-F14)-F7/8</f>
        <v>6.3003424657534239</v>
      </c>
    </row>
    <row r="34" spans="1:6" x14ac:dyDescent="0.2">
      <c r="A34" s="26"/>
    </row>
    <row r="35" spans="1:6" x14ac:dyDescent="0.2">
      <c r="A35" s="113" t="s">
        <v>161</v>
      </c>
    </row>
    <row r="37" spans="1:6" x14ac:dyDescent="0.2">
      <c r="A37" t="s">
        <v>65</v>
      </c>
    </row>
    <row r="40" spans="1:6" x14ac:dyDescent="0.2">
      <c r="A40" t="s">
        <v>92</v>
      </c>
      <c r="C40">
        <v>45837</v>
      </c>
    </row>
    <row r="41" spans="1:6" x14ac:dyDescent="0.2">
      <c r="A41" t="s">
        <v>93</v>
      </c>
      <c r="C41">
        <v>9952</v>
      </c>
    </row>
  </sheetData>
  <phoneticPr fontId="8" type="noConversion"/>
  <pageMargins left="0.75" right="0.75" top="1" bottom="1" header="0" footer="0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5"/>
  <sheetViews>
    <sheetView workbookViewId="0">
      <selection sqref="A1:XFD1048576"/>
    </sheetView>
  </sheetViews>
  <sheetFormatPr defaultRowHeight="12.75" x14ac:dyDescent="0.2"/>
  <cols>
    <col min="1" max="1" width="13.42578125" style="104" customWidth="1"/>
    <col min="2" max="2" width="4.140625" style="104" customWidth="1"/>
    <col min="3" max="3" width="10" style="104" customWidth="1"/>
    <col min="4" max="4" width="11.7109375" style="105" customWidth="1"/>
    <col min="5" max="5" width="14.140625" style="105" customWidth="1"/>
    <col min="6" max="6" width="11.7109375" style="105" customWidth="1"/>
    <col min="7" max="7" width="14.7109375" style="105" customWidth="1"/>
    <col min="8" max="16384" width="9.140625" style="104"/>
  </cols>
  <sheetData>
    <row r="2" spans="1:7" ht="15" x14ac:dyDescent="0.25">
      <c r="A2" s="131" t="s">
        <v>69</v>
      </c>
      <c r="B2" s="132"/>
      <c r="C2" s="132"/>
      <c r="D2" s="133"/>
      <c r="E2" s="133"/>
      <c r="F2" s="133"/>
      <c r="G2" s="133"/>
    </row>
    <row r="3" spans="1:7" ht="15" x14ac:dyDescent="0.25">
      <c r="A3" s="131" t="s">
        <v>94</v>
      </c>
      <c r="B3" s="132"/>
      <c r="C3" s="132"/>
      <c r="D3" s="133"/>
      <c r="E3" s="133"/>
      <c r="F3" s="133"/>
      <c r="G3" s="133"/>
    </row>
    <row r="4" spans="1:7" ht="15" x14ac:dyDescent="0.25">
      <c r="A4" s="131" t="s">
        <v>120</v>
      </c>
      <c r="B4" s="132"/>
      <c r="C4" s="132"/>
      <c r="D4" s="133"/>
      <c r="E4" s="133"/>
      <c r="F4" s="133"/>
      <c r="G4" s="133"/>
    </row>
    <row r="5" spans="1:7" x14ac:dyDescent="0.2">
      <c r="A5" s="132" t="s">
        <v>106</v>
      </c>
      <c r="B5" s="132"/>
      <c r="C5" s="132"/>
      <c r="D5" s="133"/>
      <c r="E5" s="133"/>
      <c r="F5" s="133"/>
      <c r="G5" s="133"/>
    </row>
    <row r="6" spans="1:7" ht="15" x14ac:dyDescent="0.25">
      <c r="A6" s="103" t="s">
        <v>77</v>
      </c>
      <c r="B6" s="103" t="s">
        <v>78</v>
      </c>
      <c r="C6" s="103" t="s">
        <v>110</v>
      </c>
      <c r="D6" s="93" t="s">
        <v>80</v>
      </c>
      <c r="E6" s="93" t="s">
        <v>81</v>
      </c>
      <c r="F6" s="93" t="s">
        <v>82</v>
      </c>
      <c r="G6" s="93" t="s">
        <v>83</v>
      </c>
    </row>
    <row r="7" spans="1:7" x14ac:dyDescent="0.2">
      <c r="A7" s="104" t="s">
        <v>121</v>
      </c>
      <c r="B7" s="104">
        <v>1</v>
      </c>
      <c r="C7" s="104" t="s">
        <v>115</v>
      </c>
      <c r="D7" s="89">
        <v>9073</v>
      </c>
      <c r="E7" s="89">
        <v>0</v>
      </c>
      <c r="F7" s="89">
        <v>9073</v>
      </c>
      <c r="G7" s="90">
        <v>1</v>
      </c>
    </row>
    <row r="8" spans="1:7" x14ac:dyDescent="0.2">
      <c r="A8" s="104" t="s">
        <v>121</v>
      </c>
      <c r="B8" s="104">
        <v>2</v>
      </c>
      <c r="C8" s="104" t="s">
        <v>122</v>
      </c>
      <c r="D8" s="89">
        <v>2315</v>
      </c>
      <c r="E8" s="89">
        <v>0</v>
      </c>
      <c r="F8" s="89">
        <v>2315</v>
      </c>
      <c r="G8" s="90">
        <v>1</v>
      </c>
    </row>
    <row r="9" spans="1:7" x14ac:dyDescent="0.2">
      <c r="A9" s="104" t="s">
        <v>121</v>
      </c>
      <c r="B9" s="104">
        <v>3</v>
      </c>
      <c r="C9" s="104" t="s">
        <v>114</v>
      </c>
      <c r="D9" s="89">
        <v>7894</v>
      </c>
      <c r="E9" s="89">
        <v>0</v>
      </c>
      <c r="F9" s="89">
        <v>7894</v>
      </c>
      <c r="G9" s="90">
        <v>1</v>
      </c>
    </row>
    <row r="10" spans="1:7" x14ac:dyDescent="0.2">
      <c r="A10" s="104" t="s">
        <v>121</v>
      </c>
      <c r="B10" s="104">
        <v>4</v>
      </c>
      <c r="C10" s="104" t="s">
        <v>123</v>
      </c>
      <c r="D10" s="89">
        <v>3966</v>
      </c>
      <c r="E10" s="89">
        <v>0</v>
      </c>
      <c r="F10" s="89">
        <v>3966</v>
      </c>
      <c r="G10" s="90">
        <v>1</v>
      </c>
    </row>
    <row r="11" spans="1:7" x14ac:dyDescent="0.2">
      <c r="A11" s="104" t="s">
        <v>121</v>
      </c>
      <c r="B11" s="104">
        <v>5</v>
      </c>
      <c r="C11" s="104" t="s">
        <v>124</v>
      </c>
      <c r="D11" s="89">
        <v>3966</v>
      </c>
      <c r="E11" s="89">
        <v>0</v>
      </c>
      <c r="F11" s="89">
        <v>3966</v>
      </c>
      <c r="G11" s="90">
        <v>1</v>
      </c>
    </row>
    <row r="12" spans="1:7" x14ac:dyDescent="0.2">
      <c r="A12" s="104" t="s">
        <v>121</v>
      </c>
      <c r="B12" s="104">
        <v>6</v>
      </c>
      <c r="C12" s="104" t="s">
        <v>105</v>
      </c>
      <c r="D12" s="89">
        <v>7442</v>
      </c>
      <c r="E12" s="89">
        <v>0</v>
      </c>
      <c r="F12" s="89">
        <v>7442</v>
      </c>
      <c r="G12" s="90">
        <v>1</v>
      </c>
    </row>
    <row r="13" spans="1:7" x14ac:dyDescent="0.2">
      <c r="A13" s="104" t="s">
        <v>121</v>
      </c>
      <c r="B13" s="104">
        <v>7</v>
      </c>
      <c r="C13" s="104" t="s">
        <v>125</v>
      </c>
      <c r="D13" s="89">
        <v>4655</v>
      </c>
      <c r="E13" s="89">
        <v>0</v>
      </c>
      <c r="F13" s="89">
        <v>4655</v>
      </c>
      <c r="G13" s="90">
        <v>1</v>
      </c>
    </row>
    <row r="14" spans="1:7" x14ac:dyDescent="0.2">
      <c r="A14" s="104" t="s">
        <v>121</v>
      </c>
      <c r="B14" s="104">
        <v>8</v>
      </c>
      <c r="C14" s="104" t="s">
        <v>126</v>
      </c>
      <c r="D14" s="89">
        <v>4951</v>
      </c>
      <c r="E14" s="89">
        <v>0</v>
      </c>
      <c r="F14" s="89">
        <v>4951</v>
      </c>
      <c r="G14" s="90">
        <v>1</v>
      </c>
    </row>
    <row r="15" spans="1:7" x14ac:dyDescent="0.2">
      <c r="A15" s="104" t="s">
        <v>121</v>
      </c>
      <c r="B15" s="104">
        <v>9</v>
      </c>
      <c r="C15" s="104" t="s">
        <v>127</v>
      </c>
      <c r="D15" s="89">
        <v>3286</v>
      </c>
      <c r="E15" s="89">
        <v>0</v>
      </c>
      <c r="F15" s="89">
        <v>3286</v>
      </c>
      <c r="G15" s="90">
        <v>1</v>
      </c>
    </row>
    <row r="16" spans="1:7" x14ac:dyDescent="0.2">
      <c r="A16" s="104" t="s">
        <v>121</v>
      </c>
      <c r="B16" s="104">
        <v>10</v>
      </c>
      <c r="C16" s="104" t="s">
        <v>128</v>
      </c>
      <c r="D16" s="89">
        <v>3286</v>
      </c>
      <c r="E16" s="89">
        <v>0</v>
      </c>
      <c r="F16" s="89">
        <v>3286</v>
      </c>
      <c r="G16" s="90">
        <v>1</v>
      </c>
    </row>
    <row r="17" spans="1:7" x14ac:dyDescent="0.2">
      <c r="A17" s="104" t="s">
        <v>121</v>
      </c>
      <c r="B17" s="104">
        <v>11</v>
      </c>
      <c r="C17" s="104" t="s">
        <v>107</v>
      </c>
      <c r="D17" s="89">
        <v>6103</v>
      </c>
      <c r="E17" s="89">
        <v>0</v>
      </c>
      <c r="F17" s="89">
        <v>6103</v>
      </c>
      <c r="G17" s="90">
        <v>1</v>
      </c>
    </row>
    <row r="18" spans="1:7" x14ac:dyDescent="0.2">
      <c r="A18" s="104" t="s">
        <v>121</v>
      </c>
      <c r="B18" s="104">
        <v>12</v>
      </c>
      <c r="C18" s="104" t="s">
        <v>117</v>
      </c>
      <c r="D18" s="89">
        <v>5250</v>
      </c>
      <c r="E18" s="89">
        <v>0</v>
      </c>
      <c r="F18" s="89">
        <v>5250</v>
      </c>
      <c r="G18" s="90">
        <v>1</v>
      </c>
    </row>
    <row r="19" spans="1:7" x14ac:dyDescent="0.2">
      <c r="A19" s="104" t="s">
        <v>121</v>
      </c>
      <c r="B19" s="104">
        <v>13</v>
      </c>
      <c r="C19" s="104" t="s">
        <v>129</v>
      </c>
      <c r="D19" s="89">
        <v>4805</v>
      </c>
      <c r="E19" s="89">
        <v>0</v>
      </c>
      <c r="F19" s="89">
        <v>4805</v>
      </c>
      <c r="G19" s="90">
        <v>1</v>
      </c>
    </row>
    <row r="20" spans="1:7" x14ac:dyDescent="0.2">
      <c r="A20" s="104" t="s">
        <v>121</v>
      </c>
      <c r="B20" s="104">
        <v>14</v>
      </c>
      <c r="C20" s="104" t="s">
        <v>130</v>
      </c>
      <c r="D20" s="89">
        <v>7313</v>
      </c>
      <c r="E20" s="89">
        <v>0</v>
      </c>
      <c r="F20" s="89">
        <v>7313</v>
      </c>
      <c r="G20" s="90">
        <v>1</v>
      </c>
    </row>
    <row r="21" spans="1:7" x14ac:dyDescent="0.2">
      <c r="A21" s="104" t="s">
        <v>121</v>
      </c>
      <c r="B21" s="104">
        <v>15</v>
      </c>
      <c r="C21" s="104" t="s">
        <v>131</v>
      </c>
      <c r="D21" s="89">
        <v>8457</v>
      </c>
      <c r="E21" s="89">
        <v>0</v>
      </c>
      <c r="F21" s="89">
        <v>8457</v>
      </c>
      <c r="G21" s="90">
        <v>1</v>
      </c>
    </row>
    <row r="22" spans="1:7" x14ac:dyDescent="0.2">
      <c r="A22" s="104" t="s">
        <v>121</v>
      </c>
      <c r="B22" s="104">
        <v>16</v>
      </c>
      <c r="C22" s="104" t="s">
        <v>132</v>
      </c>
      <c r="D22" s="89">
        <v>3383</v>
      </c>
      <c r="E22" s="89">
        <v>0</v>
      </c>
      <c r="F22" s="89">
        <v>3383</v>
      </c>
      <c r="G22" s="90">
        <v>1</v>
      </c>
    </row>
    <row r="23" spans="1:7" x14ac:dyDescent="0.2">
      <c r="A23" s="104" t="s">
        <v>121</v>
      </c>
      <c r="B23" s="104">
        <v>17</v>
      </c>
      <c r="C23" s="104" t="s">
        <v>133</v>
      </c>
      <c r="D23" s="89">
        <v>3383</v>
      </c>
      <c r="E23" s="89">
        <v>0</v>
      </c>
      <c r="F23" s="89">
        <v>3383</v>
      </c>
      <c r="G23" s="90">
        <v>1</v>
      </c>
    </row>
    <row r="24" spans="1:7" x14ac:dyDescent="0.2">
      <c r="A24" s="104" t="s">
        <v>121</v>
      </c>
      <c r="B24" s="104">
        <v>18</v>
      </c>
      <c r="C24" s="104" t="s">
        <v>134</v>
      </c>
      <c r="D24" s="89">
        <v>7072</v>
      </c>
      <c r="E24" s="89">
        <v>0</v>
      </c>
      <c r="F24" s="89">
        <v>7072</v>
      </c>
      <c r="G24" s="90">
        <v>1</v>
      </c>
    </row>
    <row r="25" spans="1:7" x14ac:dyDescent="0.2">
      <c r="A25" s="104" t="s">
        <v>121</v>
      </c>
      <c r="B25" s="104">
        <v>19</v>
      </c>
      <c r="C25" s="104" t="s">
        <v>135</v>
      </c>
      <c r="D25" s="89">
        <v>3534</v>
      </c>
      <c r="E25" s="89">
        <v>0</v>
      </c>
      <c r="F25" s="89">
        <v>3534</v>
      </c>
      <c r="G25" s="90">
        <v>1</v>
      </c>
    </row>
    <row r="26" spans="1:7" x14ac:dyDescent="0.2">
      <c r="A26" s="104" t="s">
        <v>121</v>
      </c>
      <c r="B26" s="104">
        <v>20</v>
      </c>
      <c r="C26" s="104" t="s">
        <v>136</v>
      </c>
      <c r="D26" s="89">
        <v>6643</v>
      </c>
      <c r="E26" s="89">
        <v>0</v>
      </c>
      <c r="F26" s="89">
        <v>6643</v>
      </c>
      <c r="G26" s="90">
        <v>1</v>
      </c>
    </row>
    <row r="27" spans="1:7" x14ac:dyDescent="0.2">
      <c r="A27" s="104" t="s">
        <v>121</v>
      </c>
      <c r="B27" s="104">
        <v>21</v>
      </c>
      <c r="C27" s="104" t="s">
        <v>137</v>
      </c>
      <c r="D27" s="89">
        <v>7588</v>
      </c>
      <c r="E27" s="89">
        <v>0</v>
      </c>
      <c r="F27" s="89">
        <v>7588</v>
      </c>
      <c r="G27" s="90">
        <v>1</v>
      </c>
    </row>
    <row r="28" spans="1:7" x14ac:dyDescent="0.2">
      <c r="A28" s="104" t="s">
        <v>121</v>
      </c>
      <c r="B28" s="104">
        <v>22</v>
      </c>
      <c r="C28" s="104" t="s">
        <v>138</v>
      </c>
      <c r="D28" s="89">
        <v>3122</v>
      </c>
      <c r="E28" s="89">
        <v>0</v>
      </c>
      <c r="F28" s="89">
        <v>3122</v>
      </c>
      <c r="G28" s="90">
        <v>1</v>
      </c>
    </row>
    <row r="29" spans="1:7" x14ac:dyDescent="0.2">
      <c r="A29" s="104" t="s">
        <v>121</v>
      </c>
      <c r="B29" s="104">
        <v>23</v>
      </c>
      <c r="C29" s="104" t="s">
        <v>139</v>
      </c>
      <c r="D29" s="89">
        <v>7588</v>
      </c>
      <c r="E29" s="89">
        <v>0</v>
      </c>
      <c r="F29" s="89">
        <v>7588</v>
      </c>
      <c r="G29" s="90">
        <v>1</v>
      </c>
    </row>
    <row r="30" spans="1:7" x14ac:dyDescent="0.2">
      <c r="A30" s="104" t="s">
        <v>121</v>
      </c>
      <c r="B30" s="104">
        <v>24</v>
      </c>
      <c r="C30" s="104" t="s">
        <v>140</v>
      </c>
      <c r="D30" s="89">
        <v>2338</v>
      </c>
      <c r="E30" s="89">
        <v>0</v>
      </c>
      <c r="F30" s="89">
        <v>2338</v>
      </c>
      <c r="G30" s="90">
        <v>1</v>
      </c>
    </row>
    <row r="31" spans="1:7" x14ac:dyDescent="0.2">
      <c r="A31" s="104" t="s">
        <v>121</v>
      </c>
      <c r="B31" s="104">
        <v>25</v>
      </c>
      <c r="C31" s="104" t="s">
        <v>141</v>
      </c>
      <c r="D31" s="89">
        <v>3321</v>
      </c>
      <c r="E31" s="89">
        <v>0</v>
      </c>
      <c r="F31" s="89">
        <v>3321</v>
      </c>
      <c r="G31" s="90">
        <v>1</v>
      </c>
    </row>
    <row r="32" spans="1:7" x14ac:dyDescent="0.2">
      <c r="A32" s="104" t="s">
        <v>121</v>
      </c>
      <c r="B32" s="104">
        <v>26</v>
      </c>
      <c r="C32" s="104" t="s">
        <v>142</v>
      </c>
      <c r="D32" s="89">
        <v>2850</v>
      </c>
      <c r="E32" s="89">
        <v>0</v>
      </c>
      <c r="F32" s="89">
        <v>2850</v>
      </c>
      <c r="G32" s="90">
        <v>1</v>
      </c>
    </row>
    <row r="33" spans="1:7" x14ac:dyDescent="0.2">
      <c r="A33" s="104" t="s">
        <v>121</v>
      </c>
      <c r="B33" s="104">
        <v>27</v>
      </c>
      <c r="C33" s="104" t="s">
        <v>143</v>
      </c>
      <c r="D33" s="89">
        <v>600</v>
      </c>
      <c r="E33" s="89">
        <v>0</v>
      </c>
      <c r="F33" s="89">
        <v>600</v>
      </c>
      <c r="G33" s="90">
        <v>1</v>
      </c>
    </row>
    <row r="34" spans="1:7" ht="15" x14ac:dyDescent="0.25">
      <c r="A34" s="103" t="s">
        <v>144</v>
      </c>
      <c r="B34" s="104" t="s">
        <v>109</v>
      </c>
      <c r="C34" s="104" t="s">
        <v>109</v>
      </c>
      <c r="D34" s="94">
        <v>134184</v>
      </c>
      <c r="E34" s="94">
        <v>0</v>
      </c>
      <c r="F34" s="94">
        <v>134184</v>
      </c>
      <c r="G34" s="95">
        <v>1</v>
      </c>
    </row>
    <row r="35" spans="1:7" ht="15" x14ac:dyDescent="0.25">
      <c r="A35" s="103" t="s">
        <v>145</v>
      </c>
      <c r="B35" s="104" t="s">
        <v>109</v>
      </c>
      <c r="C35" s="104" t="s">
        <v>109</v>
      </c>
      <c r="D35" s="94">
        <v>134184</v>
      </c>
      <c r="E35" s="94">
        <v>0</v>
      </c>
      <c r="F35" s="94">
        <v>134184</v>
      </c>
      <c r="G35" s="95">
        <v>1</v>
      </c>
    </row>
  </sheetData>
  <mergeCells count="4">
    <mergeCell ref="A2:G2"/>
    <mergeCell ref="A3:G3"/>
    <mergeCell ref="A4:G4"/>
    <mergeCell ref="A5:G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7" sqref="J17"/>
    </sheetView>
  </sheetViews>
  <sheetFormatPr defaultRowHeight="12.75" x14ac:dyDescent="0.2"/>
  <cols>
    <col min="1" max="1" width="6.28515625" customWidth="1"/>
    <col min="2" max="2" width="7.28515625" customWidth="1"/>
    <col min="3" max="3" width="10.28515625" bestFit="1" customWidth="1"/>
    <col min="4" max="4" width="4.5703125" bestFit="1" customWidth="1"/>
    <col min="5" max="5" width="17.28515625" customWidth="1"/>
    <col min="6" max="6" width="24.5703125" customWidth="1"/>
    <col min="7" max="7" width="5.7109375" bestFit="1" customWidth="1"/>
    <col min="8" max="8" width="5.7109375" customWidth="1"/>
    <col min="9" max="9" width="10.28515625" bestFit="1" customWidth="1"/>
    <col min="10" max="10" width="9.7109375" bestFit="1" customWidth="1"/>
    <col min="11" max="11" width="6" bestFit="1" customWidth="1"/>
  </cols>
  <sheetData>
    <row r="1" spans="1:13" s="104" customFormat="1" x14ac:dyDescent="0.2">
      <c r="I1" s="105"/>
      <c r="J1" s="105"/>
    </row>
    <row r="2" spans="1:13" s="104" customFormat="1" ht="15" x14ac:dyDescent="0.25">
      <c r="A2" s="131" t="s">
        <v>69</v>
      </c>
      <c r="B2" s="132"/>
      <c r="C2" s="132"/>
      <c r="D2" s="132"/>
      <c r="E2" s="132"/>
      <c r="F2" s="132"/>
      <c r="G2" s="132"/>
      <c r="H2" s="132"/>
      <c r="I2" s="133"/>
      <c r="J2" s="133"/>
      <c r="K2" s="132"/>
      <c r="L2" s="132"/>
      <c r="M2" s="132"/>
    </row>
    <row r="3" spans="1:13" s="104" customFormat="1" ht="15" x14ac:dyDescent="0.25">
      <c r="A3" s="131" t="s">
        <v>95</v>
      </c>
      <c r="B3" s="132"/>
      <c r="C3" s="132"/>
      <c r="D3" s="132"/>
      <c r="E3" s="132"/>
      <c r="F3" s="132"/>
      <c r="G3" s="132"/>
      <c r="H3" s="132"/>
      <c r="I3" s="133"/>
      <c r="J3" s="133"/>
      <c r="K3" s="132"/>
      <c r="L3" s="132"/>
      <c r="M3" s="132"/>
    </row>
    <row r="4" spans="1:13" s="104" customFormat="1" ht="15" x14ac:dyDescent="0.25">
      <c r="A4" s="131" t="s">
        <v>146</v>
      </c>
      <c r="B4" s="132"/>
      <c r="C4" s="132"/>
      <c r="D4" s="132"/>
      <c r="E4" s="132"/>
      <c r="F4" s="132"/>
      <c r="G4" s="132"/>
      <c r="H4" s="132"/>
      <c r="I4" s="133"/>
      <c r="J4" s="133"/>
      <c r="K4" s="132"/>
      <c r="L4" s="132"/>
      <c r="M4" s="132"/>
    </row>
    <row r="5" spans="1:13" s="104" customFormat="1" x14ac:dyDescent="0.2">
      <c r="A5" s="132" t="s">
        <v>106</v>
      </c>
      <c r="B5" s="132"/>
      <c r="C5" s="132"/>
      <c r="D5" s="132"/>
      <c r="E5" s="132"/>
      <c r="F5" s="132"/>
      <c r="G5" s="132"/>
      <c r="H5" s="132"/>
      <c r="I5" s="133"/>
      <c r="J5" s="133"/>
      <c r="K5" s="132"/>
      <c r="L5" s="132"/>
      <c r="M5" s="132"/>
    </row>
    <row r="6" spans="1:13" s="104" customFormat="1" ht="15" x14ac:dyDescent="0.25">
      <c r="A6" s="103" t="s">
        <v>96</v>
      </c>
      <c r="B6" s="103" t="s">
        <v>79</v>
      </c>
      <c r="C6" s="103" t="s">
        <v>71</v>
      </c>
      <c r="D6" s="103" t="s">
        <v>72</v>
      </c>
      <c r="E6" s="103" t="s">
        <v>70</v>
      </c>
      <c r="F6" s="103" t="s">
        <v>73</v>
      </c>
      <c r="G6" s="103" t="s">
        <v>74</v>
      </c>
      <c r="H6" s="103" t="s">
        <v>75</v>
      </c>
      <c r="I6" s="93" t="s">
        <v>97</v>
      </c>
      <c r="J6" s="93" t="s">
        <v>98</v>
      </c>
    </row>
    <row r="7" spans="1:13" s="104" customFormat="1" x14ac:dyDescent="0.2">
      <c r="A7" s="104">
        <v>2264</v>
      </c>
      <c r="B7" s="104" t="s">
        <v>147</v>
      </c>
      <c r="C7" s="91">
        <v>43496</v>
      </c>
      <c r="D7" s="104">
        <v>46</v>
      </c>
      <c r="E7" s="104" t="s">
        <v>76</v>
      </c>
      <c r="F7" s="104" t="s">
        <v>148</v>
      </c>
      <c r="G7" s="104" t="s">
        <v>109</v>
      </c>
      <c r="H7" s="104" t="s">
        <v>109</v>
      </c>
      <c r="I7" s="89">
        <v>886.9</v>
      </c>
      <c r="J7" s="89">
        <v>886.9</v>
      </c>
    </row>
    <row r="8" spans="1:13" s="104" customFormat="1" x14ac:dyDescent="0.2">
      <c r="A8" s="104">
        <v>2264</v>
      </c>
      <c r="B8" s="104" t="s">
        <v>147</v>
      </c>
      <c r="C8" s="91">
        <v>43539</v>
      </c>
      <c r="D8" s="104">
        <v>116</v>
      </c>
      <c r="E8" s="104" t="s">
        <v>149</v>
      </c>
      <c r="F8" s="104" t="s">
        <v>150</v>
      </c>
      <c r="G8" s="104" t="s">
        <v>109</v>
      </c>
      <c r="H8" s="104" t="s">
        <v>109</v>
      </c>
      <c r="I8" s="89">
        <v>2270</v>
      </c>
      <c r="J8" s="89">
        <v>3156.9</v>
      </c>
    </row>
    <row r="9" spans="1:13" s="104" customFormat="1" x14ac:dyDescent="0.2">
      <c r="A9" s="104">
        <v>2264</v>
      </c>
      <c r="B9" s="104" t="s">
        <v>147</v>
      </c>
      <c r="C9" s="91">
        <v>43555</v>
      </c>
      <c r="D9" s="104">
        <v>47</v>
      </c>
      <c r="E9" s="104" t="s">
        <v>76</v>
      </c>
      <c r="F9" s="104" t="s">
        <v>148</v>
      </c>
      <c r="G9" s="104" t="s">
        <v>109</v>
      </c>
      <c r="H9" s="104" t="s">
        <v>109</v>
      </c>
      <c r="I9" s="89">
        <v>2404</v>
      </c>
      <c r="J9" s="89">
        <v>5560.9</v>
      </c>
    </row>
    <row r="10" spans="1:13" s="104" customFormat="1" x14ac:dyDescent="0.2">
      <c r="A10" s="104">
        <v>2264</v>
      </c>
      <c r="B10" s="104" t="s">
        <v>147</v>
      </c>
      <c r="C10" s="91">
        <v>43616</v>
      </c>
      <c r="D10" s="104">
        <v>48</v>
      </c>
      <c r="E10" s="104" t="s">
        <v>76</v>
      </c>
      <c r="F10" s="104" t="s">
        <v>148</v>
      </c>
      <c r="G10" s="104" t="s">
        <v>109</v>
      </c>
      <c r="H10" s="104" t="s">
        <v>109</v>
      </c>
      <c r="I10" s="89">
        <v>2404</v>
      </c>
      <c r="J10" s="89">
        <v>7964.9</v>
      </c>
    </row>
    <row r="11" spans="1:13" s="104" customFormat="1" x14ac:dyDescent="0.2">
      <c r="A11" s="104">
        <v>2264</v>
      </c>
      <c r="B11" s="104" t="s">
        <v>147</v>
      </c>
      <c r="C11" s="91">
        <v>43677</v>
      </c>
      <c r="D11" s="104">
        <v>49</v>
      </c>
      <c r="E11" s="104" t="s">
        <v>76</v>
      </c>
      <c r="F11" s="104" t="s">
        <v>148</v>
      </c>
      <c r="G11" s="104" t="s">
        <v>109</v>
      </c>
      <c r="H11" s="104" t="s">
        <v>109</v>
      </c>
      <c r="I11" s="89">
        <v>2404</v>
      </c>
      <c r="J11" s="89">
        <v>10368.9</v>
      </c>
    </row>
    <row r="12" spans="1:13" s="104" customFormat="1" x14ac:dyDescent="0.2">
      <c r="A12" s="104">
        <v>2264</v>
      </c>
      <c r="B12" s="104" t="s">
        <v>147</v>
      </c>
      <c r="C12" s="91">
        <v>43738</v>
      </c>
      <c r="D12" s="104">
        <v>50</v>
      </c>
      <c r="E12" s="104" t="s">
        <v>76</v>
      </c>
      <c r="F12" s="104" t="s">
        <v>148</v>
      </c>
      <c r="G12" s="104" t="s">
        <v>109</v>
      </c>
      <c r="H12" s="104" t="s">
        <v>109</v>
      </c>
      <c r="I12" s="89">
        <v>2404</v>
      </c>
      <c r="J12" s="89">
        <v>12772.9</v>
      </c>
    </row>
    <row r="13" spans="1:13" s="104" customFormat="1" x14ac:dyDescent="0.2">
      <c r="A13" s="104">
        <v>2264</v>
      </c>
      <c r="B13" s="104" t="s">
        <v>147</v>
      </c>
      <c r="C13" s="91">
        <v>43799</v>
      </c>
      <c r="D13" s="104">
        <v>51</v>
      </c>
      <c r="E13" s="104" t="s">
        <v>76</v>
      </c>
      <c r="F13" s="104" t="s">
        <v>148</v>
      </c>
      <c r="G13" s="104" t="s">
        <v>109</v>
      </c>
      <c r="H13" s="104" t="s">
        <v>109</v>
      </c>
      <c r="I13" s="89">
        <v>2404</v>
      </c>
      <c r="J13" s="89">
        <v>15176.9</v>
      </c>
    </row>
    <row r="14" spans="1:13" x14ac:dyDescent="0.2">
      <c r="A14" s="69"/>
      <c r="B14" s="80"/>
      <c r="C14" s="68"/>
      <c r="D14" s="69"/>
      <c r="E14" s="80"/>
      <c r="F14" s="80"/>
      <c r="G14" s="66"/>
      <c r="H14" s="66"/>
      <c r="I14" s="70"/>
      <c r="J14" s="70"/>
    </row>
    <row r="15" spans="1:13" x14ac:dyDescent="0.2">
      <c r="A15" s="69"/>
      <c r="B15" s="80"/>
      <c r="C15" s="68"/>
      <c r="D15" s="69"/>
      <c r="E15" s="80"/>
      <c r="F15" s="80"/>
      <c r="G15" s="66"/>
      <c r="H15" s="66"/>
      <c r="I15" s="70"/>
      <c r="J15" s="70"/>
    </row>
    <row r="16" spans="1:13" x14ac:dyDescent="0.2">
      <c r="J16" s="81">
        <f>J13-I8</f>
        <v>12906.9</v>
      </c>
    </row>
  </sheetData>
  <mergeCells count="4">
    <mergeCell ref="A2:M2"/>
    <mergeCell ref="A3:M3"/>
    <mergeCell ref="A4:M4"/>
    <mergeCell ref="A5:M5"/>
  </mergeCells>
  <phoneticPr fontId="8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Vandregnskab </vt:lpstr>
      <vt:lpstr>Antal hoveder</vt:lpstr>
      <vt:lpstr>Aflæsninger</vt:lpstr>
      <vt:lpstr>a conto bofæller</vt:lpstr>
      <vt:lpstr>a conto fælleshuset</vt:lpstr>
    </vt:vector>
  </TitlesOfParts>
  <Company>NOVO NORDISK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Rasmussen</dc:creator>
  <cp:lastModifiedBy>DanPc</cp:lastModifiedBy>
  <cp:lastPrinted>2017-01-04T16:16:38Z</cp:lastPrinted>
  <dcterms:created xsi:type="dcterms:W3CDTF">2000-08-12T16:15:10Z</dcterms:created>
  <dcterms:modified xsi:type="dcterms:W3CDTF">2020-04-06T11:41:03Z</dcterms:modified>
</cp:coreProperties>
</file>