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/>
  <mc:AlternateContent xmlns:mc="http://schemas.openxmlformats.org/markup-compatibility/2006">
    <mc:Choice Requires="x15">
      <x15ac:absPath xmlns:x15ac="http://schemas.microsoft.com/office/spreadsheetml/2010/11/ac" url="D:\Bakken\E-conomic\"/>
    </mc:Choice>
  </mc:AlternateContent>
  <bookViews>
    <workbookView xWindow="-20" yWindow="50" windowWidth="9500" windowHeight="7500"/>
  </bookViews>
  <sheets>
    <sheet name="Regnskab og budget" sheetId="10" r:id="rId1"/>
    <sheet name="Budget Renovation" sheetId="17" r:id="rId2"/>
    <sheet name="Afdragsprofil" sheetId="18" r:id="rId3"/>
    <sheet name="Saldobalance" sheetId="11" r:id="rId4"/>
    <sheet name="Budget 16-17 - version 1" sheetId="8" r:id="rId5"/>
    <sheet name="Kontoplan 15.02.15" sheetId="9" r:id="rId6"/>
  </sheets>
  <calcPr calcId="171027"/>
</workbook>
</file>

<file path=xl/calcChain.xml><?xml version="1.0" encoding="utf-8"?>
<calcChain xmlns="http://schemas.openxmlformats.org/spreadsheetml/2006/main">
  <c r="K7" i="10" l="1"/>
  <c r="E290" i="11"/>
  <c r="D289" i="11"/>
  <c r="E289" i="11" s="1"/>
  <c r="C289" i="11"/>
  <c r="D288" i="11"/>
  <c r="E288" i="11" s="1"/>
  <c r="C288" i="11"/>
  <c r="E287" i="11"/>
  <c r="D287" i="11"/>
  <c r="C287" i="11"/>
  <c r="E286" i="11"/>
  <c r="E285" i="11"/>
  <c r="E284" i="11"/>
  <c r="D281" i="11"/>
  <c r="E281" i="11" s="1"/>
  <c r="C281" i="11"/>
  <c r="E280" i="11"/>
  <c r="E279" i="11"/>
  <c r="E278" i="11"/>
  <c r="E277" i="11"/>
  <c r="E276" i="11"/>
  <c r="D271" i="11"/>
  <c r="E271" i="11" s="1"/>
  <c r="C271" i="11"/>
  <c r="E270" i="11"/>
  <c r="E269" i="11"/>
  <c r="E268" i="11"/>
  <c r="E267" i="11"/>
  <c r="E266" i="11"/>
  <c r="E265" i="11"/>
  <c r="D262" i="11"/>
  <c r="E262" i="11" s="1"/>
  <c r="C262" i="11"/>
  <c r="E261" i="11"/>
  <c r="D260" i="11"/>
  <c r="E260" i="11" s="1"/>
  <c r="C260" i="11"/>
  <c r="E259" i="11"/>
  <c r="D254" i="11"/>
  <c r="E254" i="11" s="1"/>
  <c r="C254" i="11"/>
  <c r="D253" i="11"/>
  <c r="E253" i="11" s="1"/>
  <c r="C253" i="11"/>
  <c r="E252" i="11"/>
  <c r="D252" i="11"/>
  <c r="C252" i="11"/>
  <c r="E251" i="11"/>
  <c r="E250" i="11"/>
  <c r="E249" i="11"/>
  <c r="E248" i="11"/>
  <c r="E245" i="11"/>
  <c r="D245" i="11"/>
  <c r="C245" i="11"/>
  <c r="E244" i="11"/>
  <c r="E243" i="11"/>
  <c r="E242" i="11"/>
  <c r="E241" i="11"/>
  <c r="E240" i="11"/>
  <c r="E239" i="11"/>
  <c r="E238" i="11"/>
  <c r="E237" i="11"/>
  <c r="E236" i="11"/>
  <c r="E235" i="11"/>
  <c r="E232" i="11"/>
  <c r="D232" i="11"/>
  <c r="C232" i="11"/>
  <c r="E231" i="11"/>
  <c r="E226" i="11"/>
  <c r="D226" i="11"/>
  <c r="C226" i="11"/>
  <c r="E225" i="11"/>
  <c r="E224" i="11"/>
  <c r="D224" i="11"/>
  <c r="C224" i="11"/>
  <c r="E223" i="11"/>
  <c r="E222" i="11"/>
  <c r="E221" i="11"/>
  <c r="D218" i="11"/>
  <c r="E218" i="11" s="1"/>
  <c r="C218" i="11"/>
  <c r="E217" i="11"/>
  <c r="E216" i="11"/>
  <c r="E215" i="11"/>
  <c r="E214" i="11"/>
  <c r="E213" i="11"/>
  <c r="D206" i="11"/>
  <c r="E206" i="11" s="1"/>
  <c r="C206" i="11"/>
  <c r="D205" i="11"/>
  <c r="E205" i="11" s="1"/>
  <c r="C205" i="11"/>
  <c r="E204" i="11"/>
  <c r="D204" i="11"/>
  <c r="C204" i="11"/>
  <c r="E203" i="11"/>
  <c r="E202" i="11"/>
  <c r="E201" i="11"/>
  <c r="D198" i="11"/>
  <c r="E198" i="11" s="1"/>
  <c r="C198" i="11"/>
  <c r="E197" i="11"/>
  <c r="E196" i="11"/>
  <c r="E195" i="11"/>
  <c r="E192" i="11"/>
  <c r="D192" i="11"/>
  <c r="C192" i="11"/>
  <c r="E191" i="11"/>
  <c r="E190" i="11"/>
  <c r="E189" i="11"/>
  <c r="E188" i="11"/>
  <c r="E185" i="11"/>
  <c r="D185" i="11"/>
  <c r="C185" i="11"/>
  <c r="E184" i="11"/>
  <c r="E183" i="11"/>
  <c r="E182" i="11"/>
  <c r="D179" i="11"/>
  <c r="E179" i="11" s="1"/>
  <c r="C179" i="11"/>
  <c r="E178" i="11"/>
  <c r="E177" i="11"/>
  <c r="E176" i="11"/>
  <c r="E173" i="11"/>
  <c r="D173" i="11"/>
  <c r="C173" i="11"/>
  <c r="E172" i="11"/>
  <c r="E171" i="11"/>
  <c r="E170" i="11"/>
  <c r="E169" i="11"/>
  <c r="D166" i="11"/>
  <c r="E166" i="11" s="1"/>
  <c r="C166" i="11"/>
  <c r="E165" i="11"/>
  <c r="E164" i="11"/>
  <c r="E163" i="11"/>
  <c r="E162" i="11"/>
  <c r="D159" i="11"/>
  <c r="E159" i="11" s="1"/>
  <c r="C159" i="11"/>
  <c r="E158" i="11"/>
  <c r="E157" i="11"/>
  <c r="E156" i="11"/>
  <c r="E155" i="11"/>
  <c r="E154" i="11"/>
  <c r="E153" i="11"/>
  <c r="E152" i="11"/>
  <c r="E147" i="11"/>
  <c r="D147" i="11"/>
  <c r="C147" i="11"/>
  <c r="D146" i="11"/>
  <c r="E146" i="11" s="1"/>
  <c r="C146" i="11"/>
  <c r="D145" i="11"/>
  <c r="E145" i="11" s="1"/>
  <c r="C145" i="11"/>
  <c r="E144" i="11"/>
  <c r="D144" i="11"/>
  <c r="C144" i="11"/>
  <c r="E143" i="11"/>
  <c r="E142" i="11"/>
  <c r="E141" i="11"/>
  <c r="E140" i="11"/>
  <c r="E137" i="11"/>
  <c r="D137" i="11"/>
  <c r="C137" i="11"/>
  <c r="E136" i="11"/>
  <c r="E135" i="11"/>
  <c r="E132" i="11"/>
  <c r="D132" i="11"/>
  <c r="C132" i="11"/>
  <c r="E131" i="11"/>
  <c r="E130" i="11"/>
  <c r="E129" i="11"/>
  <c r="D126" i="11"/>
  <c r="E126" i="11" s="1"/>
  <c r="C126" i="11"/>
  <c r="E125" i="11"/>
  <c r="E124" i="11"/>
  <c r="E123" i="11"/>
  <c r="E122" i="11"/>
  <c r="E121" i="11"/>
  <c r="D118" i="11"/>
  <c r="E118" i="11" s="1"/>
  <c r="C118" i="11"/>
  <c r="E117" i="11"/>
  <c r="E116" i="11"/>
  <c r="E115" i="11"/>
  <c r="E114" i="11"/>
  <c r="E113" i="11"/>
  <c r="D110" i="11"/>
  <c r="E110" i="11" s="1"/>
  <c r="C110" i="11"/>
  <c r="E109" i="11"/>
  <c r="E108" i="11"/>
  <c r="E107" i="11"/>
  <c r="E106" i="11"/>
  <c r="E105" i="11"/>
  <c r="E102" i="11"/>
  <c r="E101" i="11"/>
  <c r="E98" i="11"/>
  <c r="D98" i="11"/>
  <c r="C98" i="11"/>
  <c r="E97" i="11"/>
  <c r="D97" i="11"/>
  <c r="C97" i="11"/>
  <c r="E96" i="11"/>
  <c r="E93" i="11"/>
  <c r="D93" i="11"/>
  <c r="C93" i="11"/>
  <c r="E92" i="11"/>
  <c r="E91" i="11"/>
  <c r="E90" i="11"/>
  <c r="E89" i="11"/>
  <c r="E88" i="11"/>
  <c r="E87" i="11"/>
  <c r="E86" i="11"/>
  <c r="E85" i="11"/>
  <c r="E84" i="11"/>
  <c r="E83" i="11"/>
  <c r="E80" i="11"/>
  <c r="D80" i="11"/>
  <c r="C80" i="11"/>
  <c r="E79" i="11"/>
  <c r="E78" i="11"/>
  <c r="E77" i="11"/>
  <c r="E76" i="11"/>
  <c r="E75" i="11"/>
  <c r="E74" i="11"/>
  <c r="E71" i="11"/>
  <c r="E70" i="11"/>
  <c r="E69" i="11"/>
  <c r="E68" i="11"/>
  <c r="D68" i="11"/>
  <c r="C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2" i="11"/>
  <c r="D52" i="11"/>
  <c r="C52" i="11"/>
  <c r="E51" i="11"/>
  <c r="E50" i="11"/>
  <c r="E49" i="11"/>
  <c r="E48" i="11"/>
  <c r="E45" i="11"/>
  <c r="D45" i="11"/>
  <c r="C45" i="11"/>
  <c r="E44" i="11"/>
  <c r="E43" i="11"/>
  <c r="E42" i="11"/>
  <c r="E41" i="11"/>
  <c r="E40" i="11"/>
  <c r="E39" i="11"/>
  <c r="E38" i="11"/>
  <c r="E37" i="11"/>
  <c r="E36" i="11"/>
  <c r="E35" i="11"/>
  <c r="E32" i="11"/>
  <c r="D32" i="11"/>
  <c r="C32" i="11"/>
  <c r="E31" i="11"/>
  <c r="E30" i="11"/>
  <c r="E29" i="11"/>
  <c r="E28" i="11"/>
  <c r="E27" i="11"/>
  <c r="E26" i="11"/>
  <c r="E25" i="11"/>
  <c r="D22" i="11"/>
  <c r="E22" i="11" s="1"/>
  <c r="C22" i="11"/>
  <c r="E21" i="11"/>
  <c r="E20" i="11"/>
  <c r="E19" i="11"/>
  <c r="E18" i="11"/>
  <c r="E17" i="11"/>
  <c r="E16" i="11"/>
  <c r="E15" i="11"/>
  <c r="E10" i="11"/>
  <c r="D10" i="11"/>
  <c r="C10" i="11"/>
  <c r="E9" i="11"/>
  <c r="E8" i="11"/>
  <c r="E7" i="11"/>
  <c r="E6" i="11"/>
  <c r="D23" i="17" l="1"/>
  <c r="K8" i="10"/>
  <c r="J87" i="10" l="1"/>
  <c r="J121" i="10"/>
  <c r="J119" i="10"/>
  <c r="J86" i="10"/>
  <c r="J83" i="10"/>
  <c r="K81" i="10"/>
  <c r="K72" i="10"/>
  <c r="F19" i="10"/>
  <c r="F22" i="10"/>
  <c r="O8" i="10" l="1"/>
  <c r="P8" i="10" s="1"/>
  <c r="P6" i="10"/>
  <c r="E18" i="10"/>
  <c r="D19" i="10"/>
  <c r="D20" i="10"/>
  <c r="D21" i="10"/>
  <c r="D22" i="10"/>
  <c r="D23" i="10"/>
  <c r="D24" i="10"/>
  <c r="D25" i="10"/>
  <c r="E27" i="10"/>
  <c r="D28" i="10"/>
  <c r="D29" i="10"/>
  <c r="D30" i="10"/>
  <c r="D31" i="10"/>
  <c r="D32" i="10"/>
  <c r="D33" i="10"/>
  <c r="D34" i="10"/>
  <c r="E36" i="10"/>
  <c r="D37" i="10"/>
  <c r="D38" i="10"/>
  <c r="D39" i="10"/>
  <c r="D40" i="10"/>
  <c r="D41" i="10"/>
  <c r="D42" i="10"/>
  <c r="D43" i="10"/>
  <c r="D44" i="10"/>
  <c r="D45" i="10"/>
  <c r="E47" i="10"/>
  <c r="D48" i="10"/>
  <c r="D49" i="10"/>
  <c r="D50" i="10"/>
  <c r="D51" i="10"/>
  <c r="E53" i="10"/>
  <c r="D54" i="10"/>
  <c r="D55" i="10"/>
  <c r="D56" i="10"/>
  <c r="D57" i="10"/>
  <c r="D58" i="10"/>
  <c r="D59" i="10"/>
  <c r="D60" i="10"/>
  <c r="D61" i="10"/>
  <c r="D62" i="10"/>
  <c r="D63" i="10"/>
  <c r="D64" i="10"/>
  <c r="E66" i="10"/>
  <c r="E68" i="10"/>
  <c r="E70" i="10"/>
  <c r="E72" i="10"/>
  <c r="E73" i="10"/>
  <c r="E74" i="10"/>
  <c r="D75" i="10"/>
  <c r="D76" i="10"/>
  <c r="D77" i="10"/>
  <c r="D78" i="10"/>
  <c r="E80" i="10"/>
  <c r="E81" i="10"/>
  <c r="E82" i="10"/>
  <c r="D83" i="10"/>
  <c r="D84" i="10"/>
  <c r="D85" i="10"/>
  <c r="D86" i="10"/>
  <c r="D87" i="10"/>
  <c r="D88" i="10"/>
  <c r="D89" i="10"/>
  <c r="E91" i="10"/>
  <c r="E93" i="10"/>
  <c r="F25" i="10" l="1"/>
  <c r="K99" i="10"/>
  <c r="E57" i="8"/>
  <c r="G57" i="8" s="1"/>
  <c r="G154" i="10"/>
  <c r="E128" i="10"/>
  <c r="A199" i="10"/>
  <c r="G199" i="10"/>
  <c r="A175" i="9"/>
  <c r="B175" i="9"/>
  <c r="A170" i="9"/>
  <c r="B170" i="9"/>
  <c r="L66" i="10"/>
  <c r="L10" i="10"/>
  <c r="A66" i="10"/>
  <c r="D42" i="8" s="1"/>
  <c r="O9" i="10"/>
  <c r="C12" i="17"/>
  <c r="D12" i="17" s="1"/>
  <c r="C13" i="17"/>
  <c r="D13" i="17" s="1"/>
  <c r="E13" i="17" s="1"/>
  <c r="C14" i="17"/>
  <c r="D14" i="17" s="1"/>
  <c r="E14" i="17" s="1"/>
  <c r="D17" i="17"/>
  <c r="E17" i="17" s="1"/>
  <c r="D18" i="17"/>
  <c r="E19" i="17"/>
  <c r="D19" i="17" s="1"/>
  <c r="C19" i="17" s="1"/>
  <c r="D2" i="17"/>
  <c r="D3" i="17"/>
  <c r="E3" i="17" s="1"/>
  <c r="D4" i="17"/>
  <c r="D5" i="17"/>
  <c r="E5" i="17" s="1"/>
  <c r="D6" i="17"/>
  <c r="E6" i="17" s="1"/>
  <c r="D7" i="17"/>
  <c r="D8" i="17"/>
  <c r="E8" i="17" s="1"/>
  <c r="D9" i="17"/>
  <c r="E9" i="17" s="1"/>
  <c r="G66" i="10"/>
  <c r="A61" i="9"/>
  <c r="B61" i="9"/>
  <c r="A42" i="8"/>
  <c r="B42" i="8"/>
  <c r="C42" i="8"/>
  <c r="E42" i="8"/>
  <c r="G42" i="8" s="1"/>
  <c r="G174" i="10"/>
  <c r="E132" i="10"/>
  <c r="L72" i="10"/>
  <c r="G18" i="10"/>
  <c r="F111" i="10"/>
  <c r="D111" i="10"/>
  <c r="A100" i="9"/>
  <c r="B100" i="9"/>
  <c r="G148" i="10"/>
  <c r="E138" i="10"/>
  <c r="G103" i="10"/>
  <c r="L53" i="10"/>
  <c r="K47" i="10"/>
  <c r="G110" i="10"/>
  <c r="G192" i="10"/>
  <c r="G198" i="10"/>
  <c r="G99" i="10"/>
  <c r="O6" i="10"/>
  <c r="A45" i="8"/>
  <c r="B45" i="8"/>
  <c r="C45" i="8"/>
  <c r="A73" i="10"/>
  <c r="D45" i="8" s="1"/>
  <c r="E45" i="8"/>
  <c r="G45" i="8" s="1"/>
  <c r="G73" i="10"/>
  <c r="E18" i="17"/>
  <c r="F61" i="10"/>
  <c r="A61" i="10"/>
  <c r="F62" i="10"/>
  <c r="A62" i="10"/>
  <c r="J64" i="10"/>
  <c r="E41" i="8" s="1"/>
  <c r="G41" i="8" s="1"/>
  <c r="K110" i="10"/>
  <c r="K18" i="10"/>
  <c r="E73" i="8"/>
  <c r="G73" i="8" s="1"/>
  <c r="E51" i="8"/>
  <c r="G51" i="8" s="1"/>
  <c r="E142" i="10"/>
  <c r="K27" i="10"/>
  <c r="G208" i="10"/>
  <c r="G230" i="10"/>
  <c r="F136" i="10"/>
  <c r="D134" i="10"/>
  <c r="F119" i="10"/>
  <c r="D106" i="10"/>
  <c r="F87" i="10"/>
  <c r="F23" i="10"/>
  <c r="B16" i="18"/>
  <c r="G14" i="18"/>
  <c r="H8" i="18"/>
  <c r="B4" i="18"/>
  <c r="E63" i="8"/>
  <c r="G63" i="8" s="1"/>
  <c r="E7" i="17"/>
  <c r="B57" i="9"/>
  <c r="A57" i="9"/>
  <c r="A53" i="9"/>
  <c r="B53" i="9"/>
  <c r="A54" i="9"/>
  <c r="B54" i="9"/>
  <c r="A55" i="9"/>
  <c r="B55" i="9"/>
  <c r="A56" i="9"/>
  <c r="B56" i="9"/>
  <c r="A58" i="9"/>
  <c r="B58" i="9"/>
  <c r="A59" i="9"/>
  <c r="B59" i="9"/>
  <c r="A39" i="8"/>
  <c r="B39" i="8"/>
  <c r="C39" i="8"/>
  <c r="E39" i="8"/>
  <c r="G39" i="8" s="1"/>
  <c r="A40" i="8"/>
  <c r="B40" i="8"/>
  <c r="C40" i="8"/>
  <c r="E40" i="8"/>
  <c r="G40" i="8" s="1"/>
  <c r="A41" i="8"/>
  <c r="B41" i="8"/>
  <c r="C41" i="8"/>
  <c r="E38" i="8"/>
  <c r="G38" i="8" s="1"/>
  <c r="F55" i="10"/>
  <c r="F56" i="10"/>
  <c r="F57" i="10"/>
  <c r="F58" i="10"/>
  <c r="F59" i="10"/>
  <c r="F60" i="10"/>
  <c r="F63" i="10"/>
  <c r="F64" i="10"/>
  <c r="A55" i="10"/>
  <c r="D34" i="8" s="1"/>
  <c r="A56" i="10"/>
  <c r="D35" i="8" s="1"/>
  <c r="A57" i="10"/>
  <c r="D36" i="8" s="1"/>
  <c r="A58" i="10"/>
  <c r="D37" i="8" s="1"/>
  <c r="A59" i="10"/>
  <c r="D38" i="8" s="1"/>
  <c r="A60" i="10"/>
  <c r="D39" i="8" s="1"/>
  <c r="A63" i="10"/>
  <c r="D40" i="8" s="1"/>
  <c r="A64" i="10"/>
  <c r="D41" i="8" s="1"/>
  <c r="A50" i="9"/>
  <c r="B50" i="9"/>
  <c r="A51" i="9"/>
  <c r="B51" i="9"/>
  <c r="A52" i="9"/>
  <c r="B52" i="9"/>
  <c r="B49" i="9"/>
  <c r="A49" i="9"/>
  <c r="B48" i="9"/>
  <c r="A48" i="9"/>
  <c r="B47" i="9"/>
  <c r="A47" i="9"/>
  <c r="A62" i="9"/>
  <c r="B62" i="9"/>
  <c r="A63" i="9"/>
  <c r="B63" i="9"/>
  <c r="A66" i="9"/>
  <c r="B66" i="9"/>
  <c r="A67" i="9"/>
  <c r="B67" i="9"/>
  <c r="A44" i="9"/>
  <c r="E34" i="8"/>
  <c r="G34" i="8" s="1"/>
  <c r="E35" i="8"/>
  <c r="G35" i="8" s="1"/>
  <c r="E36" i="8"/>
  <c r="G36" i="8" s="1"/>
  <c r="E37" i="8"/>
  <c r="G37" i="8" s="1"/>
  <c r="E33" i="8"/>
  <c r="G33" i="8" s="1"/>
  <c r="A34" i="8"/>
  <c r="A35" i="8"/>
  <c r="A36" i="8"/>
  <c r="A37" i="8"/>
  <c r="A38" i="8"/>
  <c r="A33" i="8"/>
  <c r="C38" i="8"/>
  <c r="B38" i="8"/>
  <c r="C37" i="8"/>
  <c r="B37" i="8"/>
  <c r="C36" i="8"/>
  <c r="B36" i="8"/>
  <c r="C35" i="8"/>
  <c r="B35" i="8"/>
  <c r="C34" i="8"/>
  <c r="B34" i="8"/>
  <c r="C33" i="8"/>
  <c r="B33" i="8"/>
  <c r="A54" i="10"/>
  <c r="D33" i="8" s="1"/>
  <c r="A53" i="10"/>
  <c r="E62" i="8"/>
  <c r="G62" i="8" s="1"/>
  <c r="E47" i="8"/>
  <c r="G47" i="8" s="1"/>
  <c r="C47" i="8"/>
  <c r="B47" i="8"/>
  <c r="A47" i="8"/>
  <c r="F75" i="10"/>
  <c r="A75" i="10"/>
  <c r="D47" i="8" s="1"/>
  <c r="A152" i="10"/>
  <c r="G150" i="10"/>
  <c r="A150" i="10"/>
  <c r="K103" i="10"/>
  <c r="E65" i="8"/>
  <c r="G65" i="8"/>
  <c r="E67" i="8"/>
  <c r="G67" i="8" s="1"/>
  <c r="G158" i="10"/>
  <c r="A158" i="10"/>
  <c r="G74" i="10"/>
  <c r="A187" i="9"/>
  <c r="B187" i="9"/>
  <c r="E61" i="8"/>
  <c r="G61" i="8" s="1"/>
  <c r="B85" i="9"/>
  <c r="A85" i="9"/>
  <c r="A17" i="9"/>
  <c r="B17" i="9"/>
  <c r="B248" i="9"/>
  <c r="A248" i="9"/>
  <c r="A243" i="9"/>
  <c r="B243" i="9"/>
  <c r="A244" i="9"/>
  <c r="B244" i="9"/>
  <c r="B242" i="9"/>
  <c r="A242" i="9"/>
  <c r="A239" i="9"/>
  <c r="B239" i="9"/>
  <c r="A236" i="9"/>
  <c r="B236" i="9"/>
  <c r="A237" i="9"/>
  <c r="B237" i="9"/>
  <c r="A238" i="9"/>
  <c r="B238" i="9"/>
  <c r="B235" i="9"/>
  <c r="A235" i="9"/>
  <c r="A227" i="9"/>
  <c r="B227" i="9"/>
  <c r="A228" i="9"/>
  <c r="B228" i="9"/>
  <c r="A229" i="9"/>
  <c r="B229" i="9"/>
  <c r="A230" i="9"/>
  <c r="B230" i="9"/>
  <c r="A231" i="9"/>
  <c r="B231" i="9"/>
  <c r="B226" i="9"/>
  <c r="A226" i="9"/>
  <c r="B223" i="9"/>
  <c r="A223" i="9"/>
  <c r="B221" i="9"/>
  <c r="A221" i="9"/>
  <c r="A215" i="9"/>
  <c r="B215" i="9"/>
  <c r="A213" i="9"/>
  <c r="B213" i="9"/>
  <c r="A214" i="9"/>
  <c r="B214" i="9"/>
  <c r="B212" i="9"/>
  <c r="A212" i="9"/>
  <c r="A208" i="9"/>
  <c r="B208" i="9"/>
  <c r="A209" i="9"/>
  <c r="B209" i="9"/>
  <c r="A202" i="9"/>
  <c r="B202" i="9"/>
  <c r="A203" i="9"/>
  <c r="B203" i="9"/>
  <c r="A204" i="9"/>
  <c r="B204" i="9"/>
  <c r="A205" i="9"/>
  <c r="B205" i="9"/>
  <c r="A206" i="9"/>
  <c r="B206" i="9"/>
  <c r="A207" i="9"/>
  <c r="B207" i="9"/>
  <c r="B201" i="9"/>
  <c r="A201" i="9"/>
  <c r="B198" i="9"/>
  <c r="A198" i="9"/>
  <c r="B194" i="9"/>
  <c r="A194" i="9"/>
  <c r="A191" i="9"/>
  <c r="B191" i="9"/>
  <c r="A192" i="9"/>
  <c r="B192" i="9"/>
  <c r="B190" i="9"/>
  <c r="A190" i="9"/>
  <c r="A184" i="9"/>
  <c r="B184" i="9"/>
  <c r="A185" i="9"/>
  <c r="B185" i="9"/>
  <c r="A186" i="9"/>
  <c r="B186" i="9"/>
  <c r="B183" i="9"/>
  <c r="A183" i="9"/>
  <c r="A176" i="9"/>
  <c r="B176" i="9"/>
  <c r="B174" i="9"/>
  <c r="A174" i="9"/>
  <c r="B70" i="9"/>
  <c r="A70" i="9"/>
  <c r="A68" i="9"/>
  <c r="B68" i="9"/>
  <c r="A69" i="9"/>
  <c r="B69" i="9"/>
  <c r="A74" i="9"/>
  <c r="B74" i="9"/>
  <c r="A75" i="9"/>
  <c r="B75" i="9"/>
  <c r="A76" i="9"/>
  <c r="B76" i="9"/>
  <c r="A77" i="9"/>
  <c r="B77" i="9"/>
  <c r="A78" i="9"/>
  <c r="B78" i="9"/>
  <c r="A79" i="9"/>
  <c r="B79" i="9"/>
  <c r="A80" i="9"/>
  <c r="B80" i="9"/>
  <c r="A81" i="9"/>
  <c r="B81" i="9"/>
  <c r="A82" i="9"/>
  <c r="B82" i="9"/>
  <c r="B73" i="9"/>
  <c r="A73" i="9"/>
  <c r="A171" i="9"/>
  <c r="B171" i="9"/>
  <c r="B169" i="9"/>
  <c r="A169" i="9"/>
  <c r="A166" i="9"/>
  <c r="B166" i="9"/>
  <c r="A164" i="9"/>
  <c r="B164" i="9"/>
  <c r="A165" i="9"/>
  <c r="B165" i="9"/>
  <c r="B163" i="9"/>
  <c r="A163" i="9"/>
  <c r="A159" i="9"/>
  <c r="B159" i="9"/>
  <c r="A160" i="9"/>
  <c r="B160" i="9"/>
  <c r="B158" i="9"/>
  <c r="A158" i="9"/>
  <c r="A154" i="9"/>
  <c r="B154" i="9"/>
  <c r="A155" i="9"/>
  <c r="B155" i="9"/>
  <c r="B153" i="9"/>
  <c r="A153" i="9"/>
  <c r="A148" i="9"/>
  <c r="B148" i="9"/>
  <c r="A149" i="9"/>
  <c r="B149" i="9"/>
  <c r="A150" i="9"/>
  <c r="B150" i="9"/>
  <c r="B147" i="9"/>
  <c r="A147" i="9"/>
  <c r="A142" i="9"/>
  <c r="B142" i="9"/>
  <c r="A143" i="9"/>
  <c r="B143" i="9"/>
  <c r="A144" i="9"/>
  <c r="B144" i="9"/>
  <c r="B141" i="9"/>
  <c r="A141" i="9"/>
  <c r="A133" i="9"/>
  <c r="B133" i="9"/>
  <c r="A134" i="9"/>
  <c r="B134" i="9"/>
  <c r="A135" i="9"/>
  <c r="B135" i="9"/>
  <c r="A136" i="9"/>
  <c r="B136" i="9"/>
  <c r="A137" i="9"/>
  <c r="B137" i="9"/>
  <c r="A138" i="9"/>
  <c r="B138" i="9"/>
  <c r="B132" i="9"/>
  <c r="A132" i="9"/>
  <c r="A123" i="9"/>
  <c r="B123" i="9"/>
  <c r="A124" i="9"/>
  <c r="B124" i="9"/>
  <c r="A125" i="9"/>
  <c r="B125" i="9"/>
  <c r="B122" i="9"/>
  <c r="A122" i="9"/>
  <c r="A119" i="9"/>
  <c r="B119" i="9"/>
  <c r="B118" i="9"/>
  <c r="A118" i="9"/>
  <c r="A114" i="9"/>
  <c r="B114" i="9"/>
  <c r="A115" i="9"/>
  <c r="B115" i="9"/>
  <c r="B113" i="9"/>
  <c r="A113" i="9"/>
  <c r="A107" i="9"/>
  <c r="B107" i="9"/>
  <c r="A108" i="9"/>
  <c r="B108" i="9"/>
  <c r="A109" i="9"/>
  <c r="B109" i="9"/>
  <c r="A110" i="9"/>
  <c r="B110" i="9"/>
  <c r="B106" i="9"/>
  <c r="A106" i="9"/>
  <c r="A101" i="9"/>
  <c r="B101" i="9"/>
  <c r="A102" i="9"/>
  <c r="B102" i="9"/>
  <c r="A103" i="9"/>
  <c r="B103" i="9"/>
  <c r="B99" i="9"/>
  <c r="A99" i="9"/>
  <c r="A93" i="9"/>
  <c r="B93" i="9"/>
  <c r="A94" i="9"/>
  <c r="B94" i="9"/>
  <c r="A95" i="9"/>
  <c r="B95" i="9"/>
  <c r="A96" i="9"/>
  <c r="B96" i="9"/>
  <c r="B92" i="9"/>
  <c r="A92" i="9"/>
  <c r="A90" i="9"/>
  <c r="B90" i="9"/>
  <c r="B89" i="9"/>
  <c r="A89" i="9"/>
  <c r="A42" i="9"/>
  <c r="B42" i="9"/>
  <c r="A43" i="9"/>
  <c r="B43" i="9"/>
  <c r="B44" i="9"/>
  <c r="B41" i="9"/>
  <c r="A41" i="9"/>
  <c r="A30" i="9"/>
  <c r="B30" i="9"/>
  <c r="A31" i="9"/>
  <c r="B31" i="9"/>
  <c r="A32" i="9"/>
  <c r="B32" i="9"/>
  <c r="A33" i="9"/>
  <c r="B33" i="9"/>
  <c r="A34" i="9"/>
  <c r="B34" i="9"/>
  <c r="A35" i="9"/>
  <c r="B35" i="9"/>
  <c r="A36" i="9"/>
  <c r="B36" i="9"/>
  <c r="A37" i="9"/>
  <c r="B37" i="9"/>
  <c r="A38" i="9"/>
  <c r="B38" i="9"/>
  <c r="B29" i="9"/>
  <c r="A29" i="9"/>
  <c r="A21" i="9"/>
  <c r="B21" i="9"/>
  <c r="A22" i="9"/>
  <c r="B22" i="9"/>
  <c r="A23" i="9"/>
  <c r="B23" i="9"/>
  <c r="A24" i="9"/>
  <c r="B24" i="9"/>
  <c r="A25" i="9"/>
  <c r="B25" i="9"/>
  <c r="A26" i="9"/>
  <c r="B26" i="9"/>
  <c r="B20" i="9"/>
  <c r="A20" i="9"/>
  <c r="B3" i="9"/>
  <c r="A12" i="9"/>
  <c r="B12" i="9"/>
  <c r="A13" i="9"/>
  <c r="B13" i="9"/>
  <c r="A14" i="9"/>
  <c r="B14" i="9"/>
  <c r="A15" i="9"/>
  <c r="B15" i="9"/>
  <c r="A16" i="9"/>
  <c r="B16" i="9"/>
  <c r="B11" i="9"/>
  <c r="A11" i="9"/>
  <c r="B8" i="9"/>
  <c r="A5" i="9"/>
  <c r="B5" i="9"/>
  <c r="A6" i="9"/>
  <c r="B6" i="9"/>
  <c r="A7" i="9"/>
  <c r="B7" i="9"/>
  <c r="B4" i="9"/>
  <c r="A4" i="9"/>
  <c r="B96" i="10"/>
  <c r="C5" i="10"/>
  <c r="C96" i="10" s="1"/>
  <c r="K36" i="10"/>
  <c r="L36" i="10" s="1"/>
  <c r="E66" i="8"/>
  <c r="G66" i="8" s="1"/>
  <c r="K123" i="10"/>
  <c r="K128" i="10"/>
  <c r="K132" i="10"/>
  <c r="A106" i="10"/>
  <c r="D66" i="8" s="1"/>
  <c r="A107" i="10"/>
  <c r="D67" i="8" s="1"/>
  <c r="A105" i="10"/>
  <c r="D65" i="8" s="1"/>
  <c r="G10" i="10"/>
  <c r="A73" i="8"/>
  <c r="A74" i="8"/>
  <c r="A75" i="8"/>
  <c r="A76" i="8"/>
  <c r="E68" i="8"/>
  <c r="G68" i="8" s="1"/>
  <c r="E69" i="8"/>
  <c r="G69" i="8" s="1"/>
  <c r="E71" i="8"/>
  <c r="G71" i="8" s="1"/>
  <c r="E74" i="8"/>
  <c r="G74" i="8" s="1"/>
  <c r="E76" i="8"/>
  <c r="G76" i="8" s="1"/>
  <c r="E77" i="8"/>
  <c r="G77" i="8" s="1"/>
  <c r="E78" i="8"/>
  <c r="G78" i="8" s="1"/>
  <c r="E79" i="8"/>
  <c r="G79" i="8" s="1"/>
  <c r="E80" i="8"/>
  <c r="G80" i="8" s="1"/>
  <c r="E81" i="8"/>
  <c r="G81" i="8" s="1"/>
  <c r="E82" i="8"/>
  <c r="G82" i="8" s="1"/>
  <c r="E83" i="8"/>
  <c r="G83" i="8" s="1"/>
  <c r="E84" i="8"/>
  <c r="G84" i="8" s="1"/>
  <c r="E85" i="8"/>
  <c r="G85" i="8" s="1"/>
  <c r="E58" i="8"/>
  <c r="G58" i="8" s="1"/>
  <c r="E59" i="8"/>
  <c r="G59" i="8" s="1"/>
  <c r="E60" i="8"/>
  <c r="G60" i="8" s="1"/>
  <c r="E48" i="8"/>
  <c r="G48" i="8" s="1"/>
  <c r="E49" i="8"/>
  <c r="G49" i="8" s="1"/>
  <c r="E50" i="8"/>
  <c r="G50" i="8" s="1"/>
  <c r="G52" i="8"/>
  <c r="E29" i="8"/>
  <c r="G29" i="8"/>
  <c r="E30" i="8"/>
  <c r="G30" i="8"/>
  <c r="E31" i="8"/>
  <c r="G31" i="8"/>
  <c r="E32" i="8"/>
  <c r="G32" i="8"/>
  <c r="E43" i="8"/>
  <c r="G43" i="8" s="1"/>
  <c r="E44" i="8"/>
  <c r="G44" i="8"/>
  <c r="E46" i="8"/>
  <c r="G46" i="8"/>
  <c r="E4" i="8"/>
  <c r="G4" i="8"/>
  <c r="E5" i="8"/>
  <c r="G5" i="8"/>
  <c r="E6" i="8"/>
  <c r="G6" i="8"/>
  <c r="E7" i="8"/>
  <c r="G7" i="8" s="1"/>
  <c r="E8" i="8"/>
  <c r="G8" i="8" s="1"/>
  <c r="E9" i="8"/>
  <c r="G9" i="8" s="1"/>
  <c r="E10" i="8"/>
  <c r="G10" i="8" s="1"/>
  <c r="E11" i="8"/>
  <c r="G11" i="8" s="1"/>
  <c r="E12" i="8"/>
  <c r="G12" i="8"/>
  <c r="E13" i="8"/>
  <c r="G13" i="8"/>
  <c r="E14" i="8"/>
  <c r="G14" i="8"/>
  <c r="E15" i="8"/>
  <c r="G15" i="8"/>
  <c r="E16" i="8"/>
  <c r="G16" i="8"/>
  <c r="E17" i="8"/>
  <c r="G17" i="8" s="1"/>
  <c r="E18" i="8"/>
  <c r="G18" i="8"/>
  <c r="E19" i="8"/>
  <c r="G19" i="8"/>
  <c r="E20" i="8"/>
  <c r="G20" i="8" s="1"/>
  <c r="E21" i="8"/>
  <c r="G21" i="8" s="1"/>
  <c r="E22" i="8"/>
  <c r="G22" i="8" s="1"/>
  <c r="E23" i="8"/>
  <c r="G23" i="8" s="1"/>
  <c r="E24" i="8"/>
  <c r="G24" i="8" s="1"/>
  <c r="E25" i="8"/>
  <c r="G25" i="8" s="1"/>
  <c r="E26" i="8"/>
  <c r="G26" i="8" s="1"/>
  <c r="E27" i="8"/>
  <c r="G27" i="8" s="1"/>
  <c r="E28" i="8"/>
  <c r="G28" i="8" s="1"/>
  <c r="F126" i="10"/>
  <c r="L96" i="10"/>
  <c r="L15" i="10"/>
  <c r="A70" i="10"/>
  <c r="D44" i="8" s="1"/>
  <c r="A44" i="8"/>
  <c r="B44" i="8"/>
  <c r="C44" i="8"/>
  <c r="G70" i="10"/>
  <c r="L70" i="10"/>
  <c r="A148" i="10"/>
  <c r="F209" i="10"/>
  <c r="A209" i="10"/>
  <c r="A85" i="8"/>
  <c r="A84" i="8"/>
  <c r="B84" i="8"/>
  <c r="C84" i="8"/>
  <c r="A135" i="10"/>
  <c r="D84" i="8" s="1"/>
  <c r="A83" i="8"/>
  <c r="A82" i="8"/>
  <c r="A81" i="8"/>
  <c r="A80" i="8"/>
  <c r="A78" i="8"/>
  <c r="A79" i="8"/>
  <c r="A77" i="8"/>
  <c r="A72" i="8"/>
  <c r="A71" i="8"/>
  <c r="A69" i="8"/>
  <c r="A67" i="8"/>
  <c r="A68" i="8"/>
  <c r="A65" i="8"/>
  <c r="B65" i="8"/>
  <c r="C65" i="8"/>
  <c r="A66" i="8"/>
  <c r="B66" i="8"/>
  <c r="C66" i="8"/>
  <c r="A104" i="10"/>
  <c r="D64" i="8" s="1"/>
  <c r="A64" i="8"/>
  <c r="B64" i="8"/>
  <c r="C64" i="8"/>
  <c r="A101" i="10"/>
  <c r="D63" i="8" s="1"/>
  <c r="A63" i="8"/>
  <c r="B63" i="8"/>
  <c r="C63" i="8"/>
  <c r="A99" i="10"/>
  <c r="D62" i="8" s="1"/>
  <c r="B62" i="8"/>
  <c r="C62" i="8"/>
  <c r="A62" i="8"/>
  <c r="A91" i="10"/>
  <c r="D61" i="8" s="1"/>
  <c r="A61" i="8"/>
  <c r="B61" i="8"/>
  <c r="C61" i="8"/>
  <c r="D52" i="8"/>
  <c r="A52" i="8"/>
  <c r="A53" i="8"/>
  <c r="A54" i="8"/>
  <c r="A55" i="8"/>
  <c r="A56" i="8"/>
  <c r="A57" i="8"/>
  <c r="A58" i="8"/>
  <c r="A59" i="8"/>
  <c r="A60" i="8"/>
  <c r="A51" i="8"/>
  <c r="B52" i="8"/>
  <c r="C52" i="8"/>
  <c r="A82" i="10"/>
  <c r="D53" i="8" s="1"/>
  <c r="A83" i="10"/>
  <c r="D54" i="8" s="1"/>
  <c r="A84" i="10"/>
  <c r="D55" i="8" s="1"/>
  <c r="A85" i="10"/>
  <c r="D56" i="8" s="1"/>
  <c r="A86" i="10"/>
  <c r="D57" i="8" s="1"/>
  <c r="A87" i="10"/>
  <c r="D58" i="8" s="1"/>
  <c r="A88" i="10"/>
  <c r="D59" i="8" s="1"/>
  <c r="A89" i="10"/>
  <c r="D60" i="8" s="1"/>
  <c r="A48" i="8"/>
  <c r="B48" i="8"/>
  <c r="C48" i="8"/>
  <c r="A76" i="10"/>
  <c r="D48" i="8" s="1"/>
  <c r="A49" i="8"/>
  <c r="B49" i="8"/>
  <c r="C49" i="8"/>
  <c r="A77" i="10"/>
  <c r="D49" i="8" s="1"/>
  <c r="A50" i="8"/>
  <c r="B50" i="8"/>
  <c r="C50" i="8"/>
  <c r="A78" i="10"/>
  <c r="D50" i="8" s="1"/>
  <c r="A74" i="10"/>
  <c r="D46" i="8" s="1"/>
  <c r="B46" i="8"/>
  <c r="C46" i="8"/>
  <c r="A46" i="8"/>
  <c r="A68" i="10"/>
  <c r="D43" i="8" s="1"/>
  <c r="A43" i="8"/>
  <c r="B43" i="8"/>
  <c r="C43" i="8"/>
  <c r="A32" i="8"/>
  <c r="B32" i="8"/>
  <c r="C32" i="8"/>
  <c r="A51" i="10"/>
  <c r="D32" i="8" s="1"/>
  <c r="A30" i="8"/>
  <c r="B30" i="8"/>
  <c r="C30" i="8"/>
  <c r="A49" i="10"/>
  <c r="D30" i="8" s="1"/>
  <c r="A31" i="8"/>
  <c r="B31" i="8"/>
  <c r="C31" i="8"/>
  <c r="A50" i="10"/>
  <c r="D31" i="8" s="1"/>
  <c r="A29" i="8"/>
  <c r="A21" i="8"/>
  <c r="B21" i="8"/>
  <c r="C21" i="8"/>
  <c r="A38" i="10"/>
  <c r="D21" i="8" s="1"/>
  <c r="A22" i="8"/>
  <c r="B22" i="8"/>
  <c r="C22" i="8"/>
  <c r="A39" i="10"/>
  <c r="D22" i="8" s="1"/>
  <c r="A23" i="8"/>
  <c r="B23" i="8"/>
  <c r="C23" i="8"/>
  <c r="A40" i="10"/>
  <c r="D23" i="8" s="1"/>
  <c r="A24" i="8"/>
  <c r="B24" i="8"/>
  <c r="C24" i="8"/>
  <c r="A41" i="10"/>
  <c r="D24" i="8" s="1"/>
  <c r="A25" i="8"/>
  <c r="B25" i="8"/>
  <c r="C25" i="8"/>
  <c r="A42" i="10"/>
  <c r="D25" i="8" s="1"/>
  <c r="A26" i="8"/>
  <c r="B26" i="8"/>
  <c r="C26" i="8"/>
  <c r="A43" i="10"/>
  <c r="D26" i="8" s="1"/>
  <c r="A27" i="8"/>
  <c r="B27" i="8"/>
  <c r="C27" i="8"/>
  <c r="A44" i="10"/>
  <c r="D27" i="8" s="1"/>
  <c r="A28" i="8"/>
  <c r="B28" i="8"/>
  <c r="C28" i="8"/>
  <c r="A45" i="10"/>
  <c r="D28" i="8" s="1"/>
  <c r="A20" i="8"/>
  <c r="A14" i="8"/>
  <c r="B14" i="8"/>
  <c r="C14" i="8"/>
  <c r="A29" i="10"/>
  <c r="D14" i="8" s="1"/>
  <c r="A15" i="8"/>
  <c r="B15" i="8"/>
  <c r="C15" i="8"/>
  <c r="A30" i="10"/>
  <c r="D15" i="8" s="1"/>
  <c r="A16" i="8"/>
  <c r="B16" i="8"/>
  <c r="C16" i="8"/>
  <c r="A31" i="10"/>
  <c r="D16" i="8" s="1"/>
  <c r="A17" i="8"/>
  <c r="B17" i="8"/>
  <c r="C17" i="8"/>
  <c r="A32" i="10"/>
  <c r="D17" i="8" s="1"/>
  <c r="A18" i="8"/>
  <c r="B18" i="8"/>
  <c r="C18" i="8"/>
  <c r="A33" i="10"/>
  <c r="D18" i="8" s="1"/>
  <c r="A19" i="8"/>
  <c r="B19" i="8"/>
  <c r="C19" i="8"/>
  <c r="A34" i="10"/>
  <c r="D19" i="8" s="1"/>
  <c r="A13" i="8"/>
  <c r="A12" i="8"/>
  <c r="B12" i="8"/>
  <c r="C12" i="8"/>
  <c r="A25" i="10"/>
  <c r="D12" i="8" s="1"/>
  <c r="A7" i="8"/>
  <c r="B7" i="8"/>
  <c r="C7" i="8"/>
  <c r="A20" i="10"/>
  <c r="D7" i="8" s="1"/>
  <c r="A8" i="8"/>
  <c r="B8" i="8"/>
  <c r="C8" i="8"/>
  <c r="A21" i="10"/>
  <c r="D8" i="8" s="1"/>
  <c r="A9" i="8"/>
  <c r="B9" i="8"/>
  <c r="C9" i="8"/>
  <c r="A22" i="10"/>
  <c r="D9" i="8" s="1"/>
  <c r="A10" i="8"/>
  <c r="B10" i="8"/>
  <c r="C10" i="8"/>
  <c r="A23" i="10"/>
  <c r="D10" i="8" s="1"/>
  <c r="A11" i="8"/>
  <c r="B11" i="8"/>
  <c r="C11" i="8"/>
  <c r="A24" i="10"/>
  <c r="D11" i="8" s="1"/>
  <c r="A6" i="8"/>
  <c r="A3" i="8"/>
  <c r="A4" i="8"/>
  <c r="A5" i="8"/>
  <c r="A2" i="8"/>
  <c r="G207" i="10"/>
  <c r="G190" i="10"/>
  <c r="G189" i="10"/>
  <c r="G181" i="10"/>
  <c r="G231" i="10"/>
  <c r="G221" i="10"/>
  <c r="G220" i="10"/>
  <c r="G219" i="10"/>
  <c r="G168" i="10"/>
  <c r="G167" i="10"/>
  <c r="G82" i="10"/>
  <c r="G81" i="10"/>
  <c r="A80" i="10"/>
  <c r="F78" i="10"/>
  <c r="F77" i="10"/>
  <c r="A72" i="10"/>
  <c r="J96" i="10"/>
  <c r="A201" i="10"/>
  <c r="A200" i="10"/>
  <c r="A198" i="10"/>
  <c r="A195" i="10"/>
  <c r="K5" i="10"/>
  <c r="K96" i="10" s="1"/>
  <c r="G5" i="10"/>
  <c r="G164" i="10" s="1"/>
  <c r="F195" i="10"/>
  <c r="E5" i="10"/>
  <c r="E96" i="10" s="1"/>
  <c r="B195" i="10"/>
  <c r="F84" i="10"/>
  <c r="F85" i="10"/>
  <c r="F86" i="10"/>
  <c r="F88" i="10"/>
  <c r="F89" i="10"/>
  <c r="F83" i="10"/>
  <c r="A81" i="10"/>
  <c r="D51" i="8" s="1"/>
  <c r="F210" i="10"/>
  <c r="A211" i="10"/>
  <c r="A208" i="10"/>
  <c r="A210" i="10"/>
  <c r="A207" i="10"/>
  <c r="A204" i="10"/>
  <c r="F191" i="10"/>
  <c r="A192" i="10"/>
  <c r="A191" i="10"/>
  <c r="A190" i="10"/>
  <c r="A189" i="10"/>
  <c r="A186" i="10"/>
  <c r="F182" i="10"/>
  <c r="A183" i="10"/>
  <c r="A181" i="10"/>
  <c r="A182" i="10"/>
  <c r="A180" i="10"/>
  <c r="A177" i="10"/>
  <c r="F232" i="10"/>
  <c r="A233" i="10"/>
  <c r="A230" i="10"/>
  <c r="A231" i="10"/>
  <c r="A232" i="10"/>
  <c r="A229" i="10"/>
  <c r="A164" i="10"/>
  <c r="A226" i="10"/>
  <c r="A223" i="10"/>
  <c r="A216" i="10"/>
  <c r="A174" i="10"/>
  <c r="F222" i="10"/>
  <c r="A220" i="10"/>
  <c r="A221" i="10"/>
  <c r="A222" i="10"/>
  <c r="A219" i="10"/>
  <c r="F169" i="10"/>
  <c r="F170" i="10"/>
  <c r="F171" i="10"/>
  <c r="F172" i="10"/>
  <c r="F173" i="10"/>
  <c r="F21" i="10"/>
  <c r="A168" i="10"/>
  <c r="A169" i="10"/>
  <c r="A170" i="10"/>
  <c r="A171" i="10"/>
  <c r="A172" i="10"/>
  <c r="A173" i="10"/>
  <c r="A142" i="10"/>
  <c r="A140" i="10"/>
  <c r="A138" i="10"/>
  <c r="A167" i="10"/>
  <c r="F135" i="10"/>
  <c r="F133" i="10"/>
  <c r="D135" i="10"/>
  <c r="D136" i="10"/>
  <c r="D133" i="10"/>
  <c r="A134" i="10"/>
  <c r="D83" i="8" s="1"/>
  <c r="A136" i="10"/>
  <c r="D85" i="8" s="1"/>
  <c r="A133" i="10"/>
  <c r="D82" i="8" s="1"/>
  <c r="A132" i="10"/>
  <c r="F130" i="10"/>
  <c r="F129" i="10"/>
  <c r="D130" i="10"/>
  <c r="D129" i="10"/>
  <c r="A130" i="10"/>
  <c r="D81" i="8" s="1"/>
  <c r="A129" i="10"/>
  <c r="D80" i="8" s="1"/>
  <c r="A128" i="10"/>
  <c r="F125" i="10"/>
  <c r="F124" i="10"/>
  <c r="D125" i="10"/>
  <c r="D126" i="10"/>
  <c r="D124" i="10"/>
  <c r="A125" i="10"/>
  <c r="D78" i="8" s="1"/>
  <c r="A126" i="10"/>
  <c r="D79" i="8" s="1"/>
  <c r="A124" i="10"/>
  <c r="D77" i="8" s="1"/>
  <c r="A123" i="10"/>
  <c r="F118" i="10"/>
  <c r="F120" i="10"/>
  <c r="E75" i="8" s="1"/>
  <c r="G75" i="8" s="1"/>
  <c r="F121" i="10"/>
  <c r="D118" i="10"/>
  <c r="D119" i="10"/>
  <c r="D120" i="10"/>
  <c r="D121" i="10"/>
  <c r="D117" i="10"/>
  <c r="A118" i="10"/>
  <c r="D73" i="8" s="1"/>
  <c r="A119" i="10"/>
  <c r="D74" i="8" s="1"/>
  <c r="A120" i="10"/>
  <c r="D75" i="8" s="1"/>
  <c r="A121" i="10"/>
  <c r="D76" i="8" s="1"/>
  <c r="A117" i="10"/>
  <c r="D72" i="8" s="1"/>
  <c r="A116" i="10"/>
  <c r="D112" i="10"/>
  <c r="D113" i="10"/>
  <c r="F113" i="10"/>
  <c r="D114" i="10"/>
  <c r="F114" i="10"/>
  <c r="A112" i="10"/>
  <c r="A113" i="10"/>
  <c r="A114" i="10"/>
  <c r="D71" i="8" s="1"/>
  <c r="A111" i="10"/>
  <c r="A110" i="10"/>
  <c r="D105" i="10"/>
  <c r="F105" i="10"/>
  <c r="F106" i="10"/>
  <c r="D107" i="10"/>
  <c r="F107" i="10"/>
  <c r="D108" i="10"/>
  <c r="F108" i="10"/>
  <c r="F104" i="10"/>
  <c r="D104" i="10"/>
  <c r="A108" i="10"/>
  <c r="D68" i="8" s="1"/>
  <c r="A103" i="10"/>
  <c r="G101" i="10"/>
  <c r="E101" i="10"/>
  <c r="L101" i="10" s="1"/>
  <c r="E99" i="10"/>
  <c r="L99" i="10" s="1"/>
  <c r="L68" i="10"/>
  <c r="G91" i="10"/>
  <c r="G68" i="10"/>
  <c r="F50" i="10"/>
  <c r="F51" i="10"/>
  <c r="B3" i="8"/>
  <c r="C3" i="8"/>
  <c r="B4" i="8"/>
  <c r="C4" i="8"/>
  <c r="B5" i="8"/>
  <c r="C5" i="8"/>
  <c r="B6" i="8"/>
  <c r="C6" i="8"/>
  <c r="B13" i="8"/>
  <c r="C13" i="8"/>
  <c r="B20" i="8"/>
  <c r="C20" i="8"/>
  <c r="B29" i="8"/>
  <c r="C29" i="8"/>
  <c r="B67" i="8"/>
  <c r="C67" i="8"/>
  <c r="B68" i="8"/>
  <c r="C68" i="8"/>
  <c r="B69" i="8"/>
  <c r="C69" i="8"/>
  <c r="B71" i="8"/>
  <c r="C71" i="8"/>
  <c r="B72" i="8"/>
  <c r="C72" i="8"/>
  <c r="B73" i="8"/>
  <c r="C73" i="8"/>
  <c r="B74" i="8"/>
  <c r="C74" i="8"/>
  <c r="B75" i="8"/>
  <c r="C75" i="8"/>
  <c r="B76" i="8"/>
  <c r="C76" i="8"/>
  <c r="B77" i="8"/>
  <c r="C77" i="8"/>
  <c r="B78" i="8"/>
  <c r="C78" i="8"/>
  <c r="B79" i="8"/>
  <c r="C79" i="8"/>
  <c r="B80" i="8"/>
  <c r="C80" i="8"/>
  <c r="B81" i="8"/>
  <c r="C81" i="8"/>
  <c r="B82" i="8"/>
  <c r="C82" i="8"/>
  <c r="B83" i="8"/>
  <c r="C83" i="8"/>
  <c r="B85" i="8"/>
  <c r="C85" i="8"/>
  <c r="B51" i="8"/>
  <c r="C51" i="8"/>
  <c r="B53" i="8"/>
  <c r="C53" i="8"/>
  <c r="B54" i="8"/>
  <c r="C54" i="8"/>
  <c r="B55" i="8"/>
  <c r="C55" i="8"/>
  <c r="B56" i="8"/>
  <c r="C56" i="8"/>
  <c r="B57" i="8"/>
  <c r="C57" i="8"/>
  <c r="B58" i="8"/>
  <c r="C58" i="8"/>
  <c r="B59" i="8"/>
  <c r="C59" i="8"/>
  <c r="B60" i="8"/>
  <c r="C60" i="8"/>
  <c r="C2" i="8"/>
  <c r="B2" i="8"/>
  <c r="N6" i="10"/>
  <c r="N4" i="10"/>
  <c r="A48" i="10"/>
  <c r="D29" i="8" s="1"/>
  <c r="A37" i="10"/>
  <c r="D20" i="8" s="1"/>
  <c r="A28" i="10"/>
  <c r="D13" i="8" s="1"/>
  <c r="A19" i="10"/>
  <c r="D6" i="8" s="1"/>
  <c r="A8" i="10"/>
  <c r="D3" i="8" s="1"/>
  <c r="A9" i="10"/>
  <c r="D4" i="8" s="1"/>
  <c r="A10" i="10"/>
  <c r="D5" i="8" s="1"/>
  <c r="A7" i="10"/>
  <c r="D2" i="8" s="1"/>
  <c r="F49" i="10"/>
  <c r="F48" i="10"/>
  <c r="F38" i="10"/>
  <c r="F39" i="10"/>
  <c r="F40" i="10"/>
  <c r="F41" i="10"/>
  <c r="F42" i="10"/>
  <c r="F43" i="10"/>
  <c r="F44" i="10"/>
  <c r="F45" i="10"/>
  <c r="F37" i="10"/>
  <c r="F29" i="10"/>
  <c r="F30" i="10"/>
  <c r="F31" i="10"/>
  <c r="F32" i="10"/>
  <c r="F33" i="10"/>
  <c r="F34" i="10"/>
  <c r="F20" i="10"/>
  <c r="F24" i="10"/>
  <c r="G8" i="10"/>
  <c r="H8" i="10" s="1"/>
  <c r="G9" i="10"/>
  <c r="G7" i="10"/>
  <c r="H7" i="10" s="1"/>
  <c r="L9" i="10"/>
  <c r="A47" i="10"/>
  <c r="A36" i="10"/>
  <c r="A27" i="10"/>
  <c r="A18" i="10"/>
  <c r="A11" i="10"/>
  <c r="F204" i="10"/>
  <c r="B204" i="10"/>
  <c r="F186" i="10"/>
  <c r="B186" i="10"/>
  <c r="F177" i="10"/>
  <c r="B177" i="10"/>
  <c r="F226" i="10"/>
  <c r="B226" i="10"/>
  <c r="F216" i="10"/>
  <c r="B216" i="10"/>
  <c r="F164" i="10"/>
  <c r="B164" i="10"/>
  <c r="H96" i="10"/>
  <c r="F96" i="10"/>
  <c r="D96" i="10"/>
  <c r="J15" i="10"/>
  <c r="H15" i="10"/>
  <c r="F15" i="10"/>
  <c r="D15" i="10"/>
  <c r="B15" i="10"/>
  <c r="E64" i="8"/>
  <c r="G64" i="8" s="1"/>
  <c r="G123" i="10"/>
  <c r="C186" i="10"/>
  <c r="B10" i="18"/>
  <c r="C7" i="18" s="1"/>
  <c r="D7" i="18" s="1"/>
  <c r="C177" i="10"/>
  <c r="C216" i="10"/>
  <c r="G204" i="10"/>
  <c r="C15" i="10"/>
  <c r="C226" i="10"/>
  <c r="G216" i="10"/>
  <c r="C164" i="10"/>
  <c r="C195" i="10"/>
  <c r="C204" i="10"/>
  <c r="G72" i="10"/>
  <c r="G152" i="10"/>
  <c r="G211" i="10"/>
  <c r="G140" i="10"/>
  <c r="G132" i="10"/>
  <c r="G183" i="10"/>
  <c r="G36" i="10"/>
  <c r="H36" i="10" s="1"/>
  <c r="G11" i="10"/>
  <c r="G201" i="10"/>
  <c r="G116" i="10"/>
  <c r="G47" i="10"/>
  <c r="H47" i="10" s="1"/>
  <c r="G53" i="10"/>
  <c r="G233" i="10"/>
  <c r="F112" i="10"/>
  <c r="F134" i="10"/>
  <c r="F200" i="10"/>
  <c r="G180" i="10"/>
  <c r="G156" i="10"/>
  <c r="F76" i="10"/>
  <c r="E2" i="17"/>
  <c r="G186" i="10"/>
  <c r="G223" i="10"/>
  <c r="G177" i="10"/>
  <c r="G27" i="10"/>
  <c r="F54" i="10"/>
  <c r="E116" i="10"/>
  <c r="G142" i="10"/>
  <c r="F28" i="10"/>
  <c r="F117" i="10"/>
  <c r="G229" i="10"/>
  <c r="E123" i="10"/>
  <c r="L123" i="10" s="1"/>
  <c r="G138" i="10"/>
  <c r="H138" i="10" l="1"/>
  <c r="G195" i="10"/>
  <c r="C6" i="18"/>
  <c r="D6" i="18" s="1"/>
  <c r="H11" i="10"/>
  <c r="G15" i="10"/>
  <c r="E15" i="10"/>
  <c r="G226" i="10"/>
  <c r="L132" i="10"/>
  <c r="L128" i="10"/>
  <c r="G96" i="10"/>
  <c r="L27" i="10"/>
  <c r="J84" i="10"/>
  <c r="E55" i="8" s="1"/>
  <c r="G55" i="8" s="1"/>
  <c r="L8" i="10"/>
  <c r="E3" i="8"/>
  <c r="G3" i="8" s="1"/>
  <c r="H9" i="10"/>
  <c r="H66" i="10"/>
  <c r="H132" i="10"/>
  <c r="H68" i="10"/>
  <c r="H99" i="10"/>
  <c r="H53" i="10"/>
  <c r="L47" i="10"/>
  <c r="H123" i="10"/>
  <c r="H27" i="10"/>
  <c r="H116" i="10"/>
  <c r="H101" i="10"/>
  <c r="H142" i="10"/>
  <c r="H10" i="10"/>
  <c r="H72" i="10"/>
  <c r="G7" i="18"/>
  <c r="H7" i="18"/>
  <c r="G6" i="18"/>
  <c r="H6" i="18"/>
  <c r="E103" i="10"/>
  <c r="H70" i="10"/>
  <c r="C5" i="18"/>
  <c r="D5" i="18" s="1"/>
  <c r="K82" i="10"/>
  <c r="E54" i="8"/>
  <c r="G54" i="8" s="1"/>
  <c r="C4" i="18"/>
  <c r="G128" i="10"/>
  <c r="H128" i="10" s="1"/>
  <c r="E4" i="17"/>
  <c r="D10" i="17"/>
  <c r="G93" i="10"/>
  <c r="H93" i="10" s="1"/>
  <c r="E140" i="10"/>
  <c r="H140" i="10" s="1"/>
  <c r="K15" i="10"/>
  <c r="L18" i="10"/>
  <c r="H18" i="10"/>
  <c r="D20" i="17"/>
  <c r="E20" i="17" s="1"/>
  <c r="D15" i="17"/>
  <c r="E12" i="17"/>
  <c r="E15" i="17" s="1"/>
  <c r="E27" i="17" s="1"/>
  <c r="G80" i="10"/>
  <c r="H80" i="10" s="1"/>
  <c r="E110" i="10"/>
  <c r="L110" i="10" s="1"/>
  <c r="E2" i="8" l="1"/>
  <c r="G2" i="8" s="1"/>
  <c r="L7" i="10"/>
  <c r="K11" i="10"/>
  <c r="L11" i="10" s="1"/>
  <c r="E28" i="17"/>
  <c r="G27" i="17"/>
  <c r="F27" i="17"/>
  <c r="H27" i="17" s="1"/>
  <c r="G5" i="18"/>
  <c r="H5" i="18"/>
  <c r="D4" i="18"/>
  <c r="C11" i="18"/>
  <c r="L103" i="10"/>
  <c r="H103" i="10"/>
  <c r="F20" i="17"/>
  <c r="H20" i="17" s="1"/>
  <c r="J20" i="17" s="1"/>
  <c r="G20" i="17"/>
  <c r="J117" i="10" s="1"/>
  <c r="E10" i="17"/>
  <c r="E53" i="8"/>
  <c r="G53" i="8" s="1"/>
  <c r="K116" i="10" l="1"/>
  <c r="E72" i="8"/>
  <c r="G72" i="8" s="1"/>
  <c r="G4" i="18"/>
  <c r="H4" i="18"/>
  <c r="E23" i="17"/>
  <c r="E24" i="17" s="1"/>
  <c r="F10" i="17"/>
  <c r="F28" i="17"/>
  <c r="H28" i="17" s="1"/>
  <c r="J28" i="17" s="1"/>
  <c r="J31" i="17" s="1"/>
  <c r="G28" i="17"/>
  <c r="J85" i="10" s="1"/>
  <c r="G12" i="18" l="1"/>
  <c r="G11" i="18"/>
  <c r="G10" i="18"/>
  <c r="G13" i="18"/>
  <c r="G10" i="17"/>
  <c r="H10" i="17"/>
  <c r="J10" i="17" s="1"/>
  <c r="J23" i="17" s="1"/>
  <c r="E56" i="8"/>
  <c r="G56" i="8" s="1"/>
  <c r="K80" i="10"/>
  <c r="H10" i="18"/>
  <c r="K4" i="18"/>
  <c r="L4" i="18" s="1"/>
  <c r="K138" i="10"/>
  <c r="L138" i="10" s="1"/>
  <c r="L116" i="10"/>
  <c r="L80" i="10" l="1"/>
  <c r="K93" i="10"/>
  <c r="O16" i="10"/>
  <c r="K140" i="10" l="1"/>
  <c r="L93" i="10"/>
  <c r="L140" i="10" l="1"/>
  <c r="K142" i="10"/>
  <c r="L142" i="10" l="1"/>
  <c r="O15" i="10"/>
  <c r="O19" i="10" s="1"/>
  <c r="O20" i="10" s="1"/>
</calcChain>
</file>

<file path=xl/sharedStrings.xml><?xml version="1.0" encoding="utf-8"?>
<sst xmlns="http://schemas.openxmlformats.org/spreadsheetml/2006/main" count="987" uniqueCount="380">
  <si>
    <t xml:space="preserve">Budget </t>
  </si>
  <si>
    <t xml:space="preserve">Regnskab </t>
  </si>
  <si>
    <t xml:space="preserve">Difference </t>
  </si>
  <si>
    <t>Konto</t>
  </si>
  <si>
    <t>%</t>
  </si>
  <si>
    <t>Fadøl</t>
  </si>
  <si>
    <t>Andre indtægter</t>
  </si>
  <si>
    <t>Forsikringer</t>
  </si>
  <si>
    <t>Renter og gebyrer</t>
  </si>
  <si>
    <t>Revision</t>
  </si>
  <si>
    <t>Bestyrelsen</t>
  </si>
  <si>
    <t>Diverse</t>
  </si>
  <si>
    <t>TV</t>
  </si>
  <si>
    <t xml:space="preserve"> hus/mdr</t>
  </si>
  <si>
    <t>Note</t>
  </si>
  <si>
    <t>Renovation</t>
  </si>
  <si>
    <t>Kontingent</t>
  </si>
  <si>
    <t>Snerydning</t>
  </si>
  <si>
    <t>Kontonr</t>
  </si>
  <si>
    <t>Fra dato</t>
  </si>
  <si>
    <t>Til dato</t>
  </si>
  <si>
    <t>Tekst</t>
  </si>
  <si>
    <t>Total beløb</t>
  </si>
  <si>
    <t>KontoType</t>
  </si>
  <si>
    <t>DebetKredit</t>
  </si>
  <si>
    <t>Korrektion beløb</t>
  </si>
  <si>
    <t>GEF ejerne</t>
  </si>
  <si>
    <t>Kredit</t>
  </si>
  <si>
    <t>GEF lejerne</t>
  </si>
  <si>
    <t>Rep og service Gasfyr</t>
  </si>
  <si>
    <t>Udv. vedl. FÆ-hus</t>
  </si>
  <si>
    <t>Indv. vedl. FÆ-hus</t>
  </si>
  <si>
    <t>Vedl. fællesarealer</t>
  </si>
  <si>
    <t>Inventar</t>
  </si>
  <si>
    <t>Køkkenudstyr</t>
  </si>
  <si>
    <t>EL-artik, pærer mv</t>
  </si>
  <si>
    <t>Krydderier</t>
  </si>
  <si>
    <t>Gaver</t>
  </si>
  <si>
    <t>Fortæring arbejdsweekends</t>
  </si>
  <si>
    <t>Fortæring generalforsamling</t>
  </si>
  <si>
    <t>Adventsarrangementer</t>
  </si>
  <si>
    <t>Fastelavn</t>
  </si>
  <si>
    <t>Cafemøder</t>
  </si>
  <si>
    <t>Bakkeweekend</t>
  </si>
  <si>
    <t>Skt. Hans</t>
  </si>
  <si>
    <t>Telefon / bredbånd</t>
  </si>
  <si>
    <t>Hjemmeside/e-mail</t>
  </si>
  <si>
    <t>Diverse variable udgifter</t>
  </si>
  <si>
    <t>Ejendomsskat</t>
  </si>
  <si>
    <t>Vaskemaskiner, 2011</t>
  </si>
  <si>
    <t>Andre renter og gebyrer</t>
  </si>
  <si>
    <t>EL</t>
  </si>
  <si>
    <t>Varme / gas</t>
  </si>
  <si>
    <t>Vand</t>
  </si>
  <si>
    <t>Drift af bestyrelsen</t>
  </si>
  <si>
    <t>Kontorartikler og Porto</t>
  </si>
  <si>
    <t>Økonomisystem</t>
  </si>
  <si>
    <t>GEF-regnskab</t>
  </si>
  <si>
    <t>IS-regnskab</t>
  </si>
  <si>
    <t>Tab på Bofæller</t>
  </si>
  <si>
    <t>Afrundingsfejl på Sol-projekt</t>
  </si>
  <si>
    <t>Diverse omkostninger</t>
  </si>
  <si>
    <t>Vask opkrævet</t>
  </si>
  <si>
    <t>Vask Fælleshuset</t>
  </si>
  <si>
    <t>Vaskemidler</t>
  </si>
  <si>
    <t>Gas</t>
  </si>
  <si>
    <t>Salttabletter</t>
  </si>
  <si>
    <t>Vand opkrævet</t>
  </si>
  <si>
    <t>Vand Fælleshuset</t>
  </si>
  <si>
    <t>Vaskeriet</t>
  </si>
  <si>
    <t>Vand Fredensborg Forsyning</t>
  </si>
  <si>
    <t>Varme opkrævet</t>
  </si>
  <si>
    <t>Varme Fælleshuset</t>
  </si>
  <si>
    <t>Gas vaskeriet</t>
  </si>
  <si>
    <t>HNG</t>
  </si>
  <si>
    <t>Renovation opkrævet</t>
  </si>
  <si>
    <t>Renovation Fælleshuset</t>
  </si>
  <si>
    <t>Renovation Fredensborg Forsyning</t>
  </si>
  <si>
    <t>TV opkrævet</t>
  </si>
  <si>
    <t>TV Fælleshuset</t>
  </si>
  <si>
    <t>YouSee og andre</t>
  </si>
  <si>
    <t>Tuborg og andre</t>
  </si>
  <si>
    <t>Mælk opkrævet</t>
  </si>
  <si>
    <t>Øllingegård</t>
  </si>
  <si>
    <t>Huslejeopkrævet</t>
  </si>
  <si>
    <t xml:space="preserve">Kredit </t>
  </si>
  <si>
    <t>GEF</t>
  </si>
  <si>
    <t>Udv. Vedligehold Gården</t>
  </si>
  <si>
    <t>Navn</t>
  </si>
  <si>
    <t>SumFra/suminterval</t>
  </si>
  <si>
    <t>MomsKode</t>
  </si>
  <si>
    <t>ModKonto</t>
  </si>
  <si>
    <t>OverfoerPrimoTil</t>
  </si>
  <si>
    <t>Afdeling</t>
  </si>
  <si>
    <t>NoegletalsKode</t>
  </si>
  <si>
    <t>Kode1</t>
  </si>
  <si>
    <t>Kode2</t>
  </si>
  <si>
    <t>Tvungen afdeling</t>
  </si>
  <si>
    <t>RESULTATOPGØRELSE</t>
  </si>
  <si>
    <t>Fællesindtægter i alt</t>
  </si>
  <si>
    <t>Variable udgifter</t>
  </si>
  <si>
    <t>Debet</t>
  </si>
  <si>
    <t>Rep og vedligehold</t>
  </si>
  <si>
    <t>Rep og vedligehold i alt</t>
  </si>
  <si>
    <t>Drift Fælleshus mv.</t>
  </si>
  <si>
    <t>Drift Fælleshus mv. i alt</t>
  </si>
  <si>
    <t>Arrang/kultur/gaver</t>
  </si>
  <si>
    <t>Informationsteknologi</t>
  </si>
  <si>
    <t>Informationsteknologi i alt</t>
  </si>
  <si>
    <t>Variable udgifter i alt</t>
  </si>
  <si>
    <t>Dækningsbidrag</t>
  </si>
  <si>
    <t>Fasteudgifter</t>
  </si>
  <si>
    <t>Ydelser på lån i alt</t>
  </si>
  <si>
    <t>Renter og gebyrer i alt</t>
  </si>
  <si>
    <t>Drift af bestyrelsen i alt</t>
  </si>
  <si>
    <t>Revision i alt</t>
  </si>
  <si>
    <t>Diverse i alt</t>
  </si>
  <si>
    <t>Faste udgifter i alt</t>
  </si>
  <si>
    <t>Fælles udgifter i alt</t>
  </si>
  <si>
    <t>Cigarkasserne</t>
  </si>
  <si>
    <t>Vaskeriet i alt</t>
  </si>
  <si>
    <t>Vand i alt</t>
  </si>
  <si>
    <t>Varme i alt</t>
  </si>
  <si>
    <t>Renovation i alt</t>
  </si>
  <si>
    <t>TV i alt</t>
  </si>
  <si>
    <t>Fadøl i alt</t>
  </si>
  <si>
    <t>Mælk</t>
  </si>
  <si>
    <t>Mælk i alt</t>
  </si>
  <si>
    <t>Gården</t>
  </si>
  <si>
    <t>Gården i alt</t>
  </si>
  <si>
    <t>Samlet resultat</t>
  </si>
  <si>
    <t>AKTIVER</t>
  </si>
  <si>
    <t>Anlægsaktiver</t>
  </si>
  <si>
    <t>Anskaffelser</t>
  </si>
  <si>
    <t>Nyt Køkken</t>
  </si>
  <si>
    <t>Anskaffelser i alt</t>
  </si>
  <si>
    <t>Fastejendom</t>
  </si>
  <si>
    <t>Fastejendom i alt</t>
  </si>
  <si>
    <t>GEF tilgode hos I/S</t>
  </si>
  <si>
    <t>Anlægsaktiver i alt</t>
  </si>
  <si>
    <t>Omsætningsaktiver</t>
  </si>
  <si>
    <t>Tilgodehavender hos Bofæller</t>
  </si>
  <si>
    <t>Tilgodehavender fra Bofæller i alt</t>
  </si>
  <si>
    <t>Øvrige tilgodehavender</t>
  </si>
  <si>
    <t>Forudbetalte poster</t>
  </si>
  <si>
    <t>Forskud fåregruppen</t>
  </si>
  <si>
    <t>Vandregnskab</t>
  </si>
  <si>
    <t>Varmeregnskab</t>
  </si>
  <si>
    <t>Fadøl - lagerbeholdning</t>
  </si>
  <si>
    <t>Øvrige tilgodehavender i alt</t>
  </si>
  <si>
    <t>Likvidebeholdninger</t>
  </si>
  <si>
    <t>Kontant</t>
  </si>
  <si>
    <t>Likvidebeholdninger i alt</t>
  </si>
  <si>
    <t>Omsætningsaktiver i alt</t>
  </si>
  <si>
    <t>AKTIVER I ALT</t>
  </si>
  <si>
    <t>PASSIVER</t>
  </si>
  <si>
    <t>EGENKAPITAL</t>
  </si>
  <si>
    <t>Egenkapital primo</t>
  </si>
  <si>
    <t>Periodens resultat</t>
  </si>
  <si>
    <t>1000..4990</t>
  </si>
  <si>
    <t>EGENKAPITAL I ALT</t>
  </si>
  <si>
    <t>1000..4990;6100..6199</t>
  </si>
  <si>
    <t>Hensættelser</t>
  </si>
  <si>
    <t>Øvrige hensættelser</t>
  </si>
  <si>
    <t>Hensættelser i alt</t>
  </si>
  <si>
    <t>Gæld til banker</t>
  </si>
  <si>
    <t>Prioritetslån RKD</t>
  </si>
  <si>
    <t>Gæld til banker i alt</t>
  </si>
  <si>
    <t>Øvrig gæld</t>
  </si>
  <si>
    <t>Skyldige omkostninger</t>
  </si>
  <si>
    <t>I/S gæld til GEF</t>
  </si>
  <si>
    <t>Øvrig gæld i alt</t>
  </si>
  <si>
    <t>Gæld i alt</t>
  </si>
  <si>
    <t>PASSIVER I ALT</t>
  </si>
  <si>
    <t>1000..4990;6000..8999</t>
  </si>
  <si>
    <t>Analyse/fejlkonto</t>
  </si>
  <si>
    <t>Nulkontrol</t>
  </si>
  <si>
    <t>Fælles indtægter</t>
  </si>
  <si>
    <t xml:space="preserve">Variable udgifter </t>
  </si>
  <si>
    <t xml:space="preserve">Variable udgifter i alt </t>
  </si>
  <si>
    <t>Faste udgifter</t>
  </si>
  <si>
    <t>Debit</t>
  </si>
  <si>
    <t>Varme</t>
  </si>
  <si>
    <t>Nr.</t>
  </si>
  <si>
    <t>Budgetteret</t>
  </si>
  <si>
    <t>Perioden</t>
  </si>
  <si>
    <t>Difference</t>
  </si>
  <si>
    <t>Arr./kultur/gaver i alt</t>
  </si>
  <si>
    <t>Vask</t>
  </si>
  <si>
    <t>EL opkrævet</t>
  </si>
  <si>
    <t>Landbrugsjord - 7 B</t>
  </si>
  <si>
    <t>Fælleshus - 9 N</t>
  </si>
  <si>
    <t>Gæld</t>
  </si>
  <si>
    <t>Gevinst på valutakursdiff, debitorer</t>
  </si>
  <si>
    <t>Gevinst på valutakursdiff, kreditorer</t>
  </si>
  <si>
    <t>Ændring</t>
  </si>
  <si>
    <t xml:space="preserve">Regnskabsår </t>
  </si>
  <si>
    <t>Budgetår</t>
  </si>
  <si>
    <t>:   fra</t>
  </si>
  <si>
    <t>til</t>
  </si>
  <si>
    <t>Tørretumbler, 1999</t>
  </si>
  <si>
    <t>Nye fyr, 1999</t>
  </si>
  <si>
    <t>Deltagerbetalte arrangementer</t>
  </si>
  <si>
    <t>Cigarkasserne i alt</t>
  </si>
  <si>
    <t>Kultur opkrævet</t>
  </si>
  <si>
    <t>Kultur udlæg</t>
  </si>
  <si>
    <t>Deltagerbetalte arrangementer i alt</t>
  </si>
  <si>
    <t>Indvendig vedligehold - Hus 26A</t>
  </si>
  <si>
    <t>Indvendig vedligehold - Hus 26C</t>
  </si>
  <si>
    <t>Huslejedepositum - Hus 26A</t>
  </si>
  <si>
    <t>Huslejedepositum - Hus 26C</t>
  </si>
  <si>
    <t>TV + licens</t>
  </si>
  <si>
    <t>Ressourceforbrug i Fælleshuset</t>
  </si>
  <si>
    <t>Ressourceforbrug i Fælleshuset i alt</t>
  </si>
  <si>
    <t>Øredifferencer</t>
  </si>
  <si>
    <t>Årets resultat for Bakken</t>
  </si>
  <si>
    <t>Vand vaskeriet</t>
  </si>
  <si>
    <t>Ikke længere i brug</t>
  </si>
  <si>
    <t>Forsikringer - 4.318.305.792</t>
  </si>
  <si>
    <t>Indv. Vedligehold Gården</t>
  </si>
  <si>
    <t>Stuehus + Østlængen - 7 AV</t>
  </si>
  <si>
    <t>Resultat:</t>
  </si>
  <si>
    <t>-  Bakken</t>
  </si>
  <si>
    <t>Balance:</t>
  </si>
  <si>
    <t>Får</t>
  </si>
  <si>
    <t>Løbende udgifter/får</t>
  </si>
  <si>
    <t>Engangsudgifter/får</t>
  </si>
  <si>
    <t>Årets udvikling/får</t>
  </si>
  <si>
    <t>Får i alt</t>
  </si>
  <si>
    <t>Regulering af lagerbeholdning</t>
  </si>
  <si>
    <t>Fåreprodukter- lagerbeholdning</t>
  </si>
  <si>
    <t>Hegn og hus/får</t>
  </si>
  <si>
    <t>Besætning/får</t>
  </si>
  <si>
    <t>Finansbanken 1122183</t>
  </si>
  <si>
    <t>Finansbanken 1243045 - fyrudskiftning</t>
  </si>
  <si>
    <t>Finansbanken 1234291 - komfur &amp; ovn</t>
  </si>
  <si>
    <t>Finansbanken 1328083 - Tørretumbler</t>
  </si>
  <si>
    <t>Rep. vaskeriet</t>
  </si>
  <si>
    <t>Årets reguleringer af egenkapitalen</t>
  </si>
  <si>
    <t>-  GEF ændring</t>
  </si>
  <si>
    <t xml:space="preserve">Udløber </t>
  </si>
  <si>
    <t>-  Gården</t>
  </si>
  <si>
    <t>-  Nyt GEF</t>
  </si>
  <si>
    <t>Markedsføring</t>
  </si>
  <si>
    <t>Stigning</t>
  </si>
  <si>
    <t>Gårdens GEF</t>
  </si>
  <si>
    <t>Træk på kassekreditten</t>
  </si>
  <si>
    <t>Arbejdskapital</t>
  </si>
  <si>
    <t>Fester/kultur</t>
  </si>
  <si>
    <t>Kultur - udgået</t>
  </si>
  <si>
    <t>Afskrivninger</t>
  </si>
  <si>
    <t>Depositum mælkeordningen - udgået</t>
  </si>
  <si>
    <t>Jyske Bank 135684-2 - Udgået</t>
  </si>
  <si>
    <t>Nordea - 3495871427</t>
  </si>
  <si>
    <t>Nordea Prioritet</t>
  </si>
  <si>
    <t>Komfur &amp; Ovn, ????</t>
  </si>
  <si>
    <t>Fyrudskiftning, 1999</t>
  </si>
  <si>
    <t>Gårdens ændring</t>
  </si>
  <si>
    <t>Diverse Fælleshus</t>
  </si>
  <si>
    <t>Lys, blomster</t>
  </si>
  <si>
    <t>7AV - Stuehuset + Østlængen</t>
  </si>
  <si>
    <t>Gl. RKD-lån</t>
  </si>
  <si>
    <t>Stk</t>
  </si>
  <si>
    <t>Stk. pris</t>
  </si>
  <si>
    <t>ex moms</t>
  </si>
  <si>
    <t>inkl. Moms</t>
  </si>
  <si>
    <t xml:space="preserve"> Hus/mdr</t>
  </si>
  <si>
    <t>Årligt</t>
  </si>
  <si>
    <t>110 I sæk ekstra ugetømning</t>
  </si>
  <si>
    <t>110 I sæk ugetømning</t>
  </si>
  <si>
    <t xml:space="preserve">Glas </t>
  </si>
  <si>
    <t xml:space="preserve">Papir </t>
  </si>
  <si>
    <t xml:space="preserve">Storskrald </t>
  </si>
  <si>
    <t>Farligt affald</t>
  </si>
  <si>
    <t>Genbrugsplads</t>
  </si>
  <si>
    <t>Renovation Privat i alt</t>
  </si>
  <si>
    <t>Gården på Fælleshusets opkrævning</t>
  </si>
  <si>
    <t>400 I cont. ugetømning</t>
  </si>
  <si>
    <t>800 I cont. Ugetømning</t>
  </si>
  <si>
    <t>Fælleshuset i alt</t>
  </si>
  <si>
    <t>Kontrol</t>
  </si>
  <si>
    <t>Gårdens egen opkrævning</t>
  </si>
  <si>
    <t>Cigarkasser der IKKE kan stemme per 31/12 - se seperate regnskaber på hjemmesiden</t>
  </si>
  <si>
    <t>Formueopgørelse</t>
  </si>
  <si>
    <t>Salg af fåreprodukter (Brutto)</t>
  </si>
  <si>
    <t>Rabat på fåreprodukter</t>
  </si>
  <si>
    <t>Bakken Bank</t>
  </si>
  <si>
    <t>Bakken Bank i alt</t>
  </si>
  <si>
    <t>Opsparing</t>
  </si>
  <si>
    <t>Projekter</t>
  </si>
  <si>
    <t>Asfalt</t>
  </si>
  <si>
    <t>Salg af Gården</t>
  </si>
  <si>
    <t>Kolbøtten</t>
  </si>
  <si>
    <t>Fælleshustorvet</t>
  </si>
  <si>
    <t>Svællemuren</t>
  </si>
  <si>
    <t>Projekter i alt</t>
  </si>
  <si>
    <t>Fælleshusfornyelsen</t>
  </si>
  <si>
    <t>Energnisterne</t>
  </si>
  <si>
    <t>Tilgodehavender - øvrige debitorer</t>
  </si>
  <si>
    <t>Tilgodehavende - kreditorer</t>
  </si>
  <si>
    <t>Projekt 8 - ikke brugt</t>
  </si>
  <si>
    <t>Projekt 9 - ikke brugt</t>
  </si>
  <si>
    <t>Slutsaldo</t>
  </si>
  <si>
    <t>Stempel tillæg</t>
  </si>
  <si>
    <t>Ny restgæld</t>
  </si>
  <si>
    <t>Udløb</t>
  </si>
  <si>
    <t>Afdragsperiode i mdr</t>
  </si>
  <si>
    <t>Afdrag per år</t>
  </si>
  <si>
    <t>Afdrag per GEF</t>
  </si>
  <si>
    <t>Gl afdrag</t>
  </si>
  <si>
    <t>Diff</t>
  </si>
  <si>
    <t>2 x GEF</t>
  </si>
  <si>
    <t>2231 - Prioritetslån RKD</t>
  </si>
  <si>
    <t>2232 - komfur &amp; ovn</t>
  </si>
  <si>
    <t>2233 - fyrudskiftning</t>
  </si>
  <si>
    <t>2234 - Tørretumbler</t>
  </si>
  <si>
    <t>2235 - Vaskemaskiner</t>
  </si>
  <si>
    <t>31.12.23</t>
  </si>
  <si>
    <t>Gammel gæld i alt</t>
  </si>
  <si>
    <t>Stempel</t>
  </si>
  <si>
    <t>6620 - Prioritetslån RKD per 28/6-12</t>
  </si>
  <si>
    <t>2017 -&gt;</t>
  </si>
  <si>
    <t>6620 - Prioritetslån RKD per 1/1-12</t>
  </si>
  <si>
    <t>Periodens afdrag</t>
  </si>
  <si>
    <t>Cigarkasser der skal stemme per 31/12 indenfor +/- 200 dkk</t>
  </si>
  <si>
    <t>A</t>
  </si>
  <si>
    <t>G</t>
  </si>
  <si>
    <t>B</t>
  </si>
  <si>
    <t>C</t>
  </si>
  <si>
    <t>E</t>
  </si>
  <si>
    <t>H</t>
  </si>
  <si>
    <t>D</t>
  </si>
  <si>
    <t>Planlagt Vedligehold</t>
  </si>
  <si>
    <t>Planlagte Nyanskaffelser</t>
  </si>
  <si>
    <t>Ikke-planlagte projekter</t>
  </si>
  <si>
    <t>Overført fra opsparingen</t>
  </si>
  <si>
    <t>Rengøringsmidler/-artikler, papir</t>
  </si>
  <si>
    <t>5-årsplan</t>
  </si>
  <si>
    <t>5-årsplan i alt</t>
  </si>
  <si>
    <t>I</t>
  </si>
  <si>
    <t>Papcontainer</t>
  </si>
  <si>
    <t>J</t>
  </si>
  <si>
    <t>Øvrige indtægter får</t>
  </si>
  <si>
    <t>304714 - Bofællesskabet Bakken I/S</t>
  </si>
  <si>
    <t>Rapporter &gt; Regnskab &gt;</t>
  </si>
  <si>
    <t>Øvrige Fåreindtægter</t>
  </si>
  <si>
    <t>Nordea renteudgift</t>
  </si>
  <si>
    <t>Nordea Renteindtægt</t>
  </si>
  <si>
    <t>Nordea renteindtægt</t>
  </si>
  <si>
    <t>K</t>
  </si>
  <si>
    <t>L</t>
  </si>
  <si>
    <t>GEF jan</t>
  </si>
  <si>
    <t>Rå GEF</t>
  </si>
  <si>
    <t>Reg GEF</t>
  </si>
  <si>
    <t>Varenr</t>
  </si>
  <si>
    <t>Saldokontering</t>
  </si>
  <si>
    <t>Rep maskiner og anlæg</t>
  </si>
  <si>
    <t>Tidsskrifter</t>
  </si>
  <si>
    <t>Nyanskaffelser</t>
  </si>
  <si>
    <t>Øl fustager opkrævet</t>
  </si>
  <si>
    <t>Øl fustager Fælleshuset</t>
  </si>
  <si>
    <t>Mælk Fælleshuset</t>
  </si>
  <si>
    <t>Kultur Fælleshuset</t>
  </si>
  <si>
    <t>50 l ugetømning</t>
  </si>
  <si>
    <t>F</t>
  </si>
  <si>
    <t>Gårdens opkrævning via Fælleshuset</t>
  </si>
  <si>
    <t>hus/girokort</t>
  </si>
  <si>
    <t>Renovation 2017 jan-jun.</t>
  </si>
  <si>
    <t>Saldobalance for perioden 01.01.16 - 31.12.16</t>
  </si>
  <si>
    <t xml:space="preserve">Rykkergebyr </t>
  </si>
  <si>
    <t> </t>
  </si>
  <si>
    <t xml:space="preserve">DONG - EL </t>
  </si>
  <si>
    <t xml:space="preserve"> </t>
  </si>
  <si>
    <t>Fraflytning</t>
  </si>
  <si>
    <t>M</t>
  </si>
  <si>
    <t>N</t>
  </si>
  <si>
    <t>O</t>
  </si>
  <si>
    <t>P</t>
  </si>
  <si>
    <t/>
  </si>
  <si>
    <t>Genanskaffelser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</si>
</sst>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"/>
    <numFmt numFmtId="165" formatCode="#,##0.0000"/>
    <numFmt numFmtId="166" formatCode="d\.m\.yy;@"/>
  </numFmts>
  <fonts count="1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 Unicode MS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i/>
      <sz val="8"/>
      <name val="Arial"/>
      <family val="2"/>
    </font>
    <font>
      <b/>
      <sz val="11"/>
      <name val="Calibri"/>
      <family val="2"/>
    </font>
    <font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gray06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theme="0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3" fontId="2" fillId="0" borderId="0" xfId="0" applyNumberFormat="1" applyFont="1" applyBorder="1"/>
    <xf numFmtId="3" fontId="2" fillId="0" borderId="1" xfId="0" applyNumberFormat="1" applyFont="1" applyFill="1" applyBorder="1"/>
    <xf numFmtId="3" fontId="2" fillId="0" borderId="0" xfId="0" applyNumberFormat="1" applyFont="1"/>
    <xf numFmtId="3" fontId="4" fillId="0" borderId="0" xfId="0" applyNumberFormat="1" applyFont="1" applyAlignment="1">
      <alignment horizontal="center"/>
    </xf>
    <xf numFmtId="3" fontId="2" fillId="0" borderId="0" xfId="0" applyNumberFormat="1" applyFont="1" applyFill="1" applyBorder="1"/>
    <xf numFmtId="3" fontId="2" fillId="0" borderId="1" xfId="0" applyNumberFormat="1" applyFont="1" applyBorder="1"/>
    <xf numFmtId="3" fontId="1" fillId="0" borderId="2" xfId="0" applyNumberFormat="1" applyFont="1" applyFill="1" applyBorder="1"/>
    <xf numFmtId="3" fontId="1" fillId="0" borderId="0" xfId="0" applyNumberFormat="1" applyFont="1"/>
    <xf numFmtId="3" fontId="3" fillId="0" borderId="1" xfId="0" applyNumberFormat="1" applyFont="1" applyBorder="1" applyAlignment="1">
      <alignment horizontal="center"/>
    </xf>
    <xf numFmtId="3" fontId="4" fillId="2" borderId="3" xfId="0" applyNumberFormat="1" applyFont="1" applyFill="1" applyBorder="1"/>
    <xf numFmtId="3" fontId="2" fillId="2" borderId="1" xfId="0" applyNumberFormat="1" applyFont="1" applyFill="1" applyBorder="1"/>
    <xf numFmtId="3" fontId="1" fillId="0" borderId="0" xfId="0" applyNumberFormat="1" applyFont="1" applyFill="1" applyBorder="1"/>
    <xf numFmtId="3" fontId="2" fillId="0" borderId="3" xfId="0" applyNumberFormat="1" applyFont="1" applyBorder="1"/>
    <xf numFmtId="3" fontId="4" fillId="0" borderId="3" xfId="0" applyNumberFormat="1" applyFont="1" applyFill="1" applyBorder="1"/>
    <xf numFmtId="3" fontId="2" fillId="0" borderId="4" xfId="0" applyNumberFormat="1" applyFont="1" applyBorder="1"/>
    <xf numFmtId="3" fontId="1" fillId="0" borderId="5" xfId="0" applyNumberFormat="1" applyFont="1" applyFill="1" applyBorder="1"/>
    <xf numFmtId="3" fontId="1" fillId="0" borderId="6" xfId="0" applyNumberFormat="1" applyFont="1" applyFill="1" applyBorder="1"/>
    <xf numFmtId="3" fontId="2" fillId="0" borderId="7" xfId="0" applyNumberFormat="1" applyFont="1" applyFill="1" applyBorder="1"/>
    <xf numFmtId="3" fontId="2" fillId="0" borderId="3" xfId="0" applyNumberFormat="1" applyFont="1" applyFill="1" applyBorder="1"/>
    <xf numFmtId="3" fontId="0" fillId="0" borderId="0" xfId="0" applyNumberFormat="1"/>
    <xf numFmtId="3" fontId="1" fillId="0" borderId="8" xfId="0" applyNumberFormat="1" applyFont="1" applyFill="1" applyBorder="1"/>
    <xf numFmtId="3" fontId="1" fillId="0" borderId="9" xfId="0" applyNumberFormat="1" applyFont="1" applyBorder="1"/>
    <xf numFmtId="3" fontId="1" fillId="2" borderId="10" xfId="0" applyNumberFormat="1" applyFont="1" applyFill="1" applyBorder="1"/>
    <xf numFmtId="3" fontId="2" fillId="2" borderId="11" xfId="0" applyNumberFormat="1" applyFont="1" applyFill="1" applyBorder="1"/>
    <xf numFmtId="3" fontId="2" fillId="2" borderId="12" xfId="0" applyNumberFormat="1" applyFont="1" applyFill="1" applyBorder="1"/>
    <xf numFmtId="3" fontId="2" fillId="0" borderId="3" xfId="0" applyNumberFormat="1" applyFont="1" applyBorder="1" applyAlignment="1">
      <alignment horizontal="center"/>
    </xf>
    <xf numFmtId="3" fontId="2" fillId="2" borderId="13" xfId="0" applyNumberFormat="1" applyFont="1" applyFill="1" applyBorder="1"/>
    <xf numFmtId="3" fontId="2" fillId="2" borderId="14" xfId="0" applyNumberFormat="1" applyFont="1" applyFill="1" applyBorder="1"/>
    <xf numFmtId="3" fontId="2" fillId="0" borderId="15" xfId="0" applyNumberFormat="1" applyFont="1" applyFill="1" applyBorder="1"/>
    <xf numFmtId="3" fontId="2" fillId="0" borderId="16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0" fillId="0" borderId="3" xfId="0" applyNumberFormat="1" applyBorder="1"/>
    <xf numFmtId="3" fontId="1" fillId="0" borderId="3" xfId="0" applyNumberFormat="1" applyFont="1" applyFill="1" applyBorder="1"/>
    <xf numFmtId="3" fontId="0" fillId="0" borderId="1" xfId="0" applyNumberFormat="1" applyBorder="1"/>
    <xf numFmtId="3" fontId="2" fillId="0" borderId="8" xfId="0" applyNumberFormat="1" applyFont="1" applyBorder="1"/>
    <xf numFmtId="3" fontId="4" fillId="0" borderId="0" xfId="0" applyNumberFormat="1" applyFont="1"/>
    <xf numFmtId="3" fontId="2" fillId="2" borderId="10" xfId="0" applyNumberFormat="1" applyFont="1" applyFill="1" applyBorder="1"/>
    <xf numFmtId="3" fontId="2" fillId="2" borderId="12" xfId="0" applyNumberFormat="1" applyFont="1" applyFill="1" applyBorder="1" applyAlignment="1">
      <alignment horizontal="center"/>
    </xf>
    <xf numFmtId="3" fontId="1" fillId="0" borderId="19" xfId="0" applyNumberFormat="1" applyFont="1" applyBorder="1"/>
    <xf numFmtId="3" fontId="1" fillId="0" borderId="0" xfId="0" applyNumberFormat="1" applyFont="1" applyBorder="1"/>
    <xf numFmtId="1" fontId="2" fillId="0" borderId="20" xfId="0" applyNumberFormat="1" applyFont="1" applyFill="1" applyBorder="1"/>
    <xf numFmtId="1" fontId="2" fillId="0" borderId="21" xfId="0" applyNumberFormat="1" applyFont="1" applyFill="1" applyBorder="1" applyAlignment="1">
      <alignment horizontal="center"/>
    </xf>
    <xf numFmtId="1" fontId="2" fillId="0" borderId="7" xfId="0" applyNumberFormat="1" applyFont="1" applyFill="1" applyBorder="1"/>
    <xf numFmtId="1" fontId="2" fillId="0" borderId="4" xfId="0" applyNumberFormat="1" applyFont="1" applyFill="1" applyBorder="1" applyAlignment="1">
      <alignment horizontal="center"/>
    </xf>
    <xf numFmtId="1" fontId="2" fillId="0" borderId="3" xfId="0" applyNumberFormat="1" applyFont="1" applyFill="1" applyBorder="1"/>
    <xf numFmtId="1" fontId="2" fillId="0" borderId="1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right"/>
    </xf>
    <xf numFmtId="3" fontId="2" fillId="0" borderId="18" xfId="0" applyNumberFormat="1" applyFont="1" applyFill="1" applyBorder="1"/>
    <xf numFmtId="3" fontId="2" fillId="0" borderId="18" xfId="0" applyNumberFormat="1" applyFont="1" applyBorder="1"/>
    <xf numFmtId="3" fontId="0" fillId="0" borderId="0" xfId="0" applyNumberFormat="1" applyAlignment="1"/>
    <xf numFmtId="0" fontId="0" fillId="0" borderId="0" xfId="0" applyNumberFormat="1" applyAlignment="1"/>
    <xf numFmtId="3" fontId="2" fillId="2" borderId="3" xfId="0" applyNumberFormat="1" applyFont="1" applyFill="1" applyBorder="1"/>
    <xf numFmtId="3" fontId="0" fillId="2" borderId="3" xfId="0" applyNumberFormat="1" applyFill="1" applyBorder="1"/>
    <xf numFmtId="3" fontId="4" fillId="0" borderId="0" xfId="0" applyNumberFormat="1" applyFont="1" applyAlignment="1" applyProtection="1">
      <alignment horizontal="right"/>
      <protection locked="0" hidden="1"/>
    </xf>
    <xf numFmtId="3" fontId="4" fillId="0" borderId="17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right"/>
    </xf>
    <xf numFmtId="0" fontId="7" fillId="0" borderId="0" xfId="0" applyFont="1"/>
    <xf numFmtId="14" fontId="7" fillId="0" borderId="0" xfId="0" applyNumberFormat="1" applyFont="1"/>
    <xf numFmtId="2" fontId="7" fillId="0" borderId="0" xfId="0" applyNumberFormat="1" applyFont="1"/>
    <xf numFmtId="14" fontId="0" fillId="0" borderId="0" xfId="0" applyNumberFormat="1"/>
    <xf numFmtId="2" fontId="0" fillId="0" borderId="0" xfId="0" applyNumberFormat="1"/>
    <xf numFmtId="0" fontId="6" fillId="0" borderId="0" xfId="0" applyFont="1"/>
    <xf numFmtId="3" fontId="10" fillId="0" borderId="0" xfId="0" applyNumberFormat="1" applyFont="1"/>
    <xf numFmtId="3" fontId="1" fillId="0" borderId="9" xfId="0" applyNumberFormat="1" applyFont="1" applyBorder="1" applyAlignment="1">
      <alignment horizontal="center"/>
    </xf>
    <xf numFmtId="1" fontId="4" fillId="0" borderId="0" xfId="0" quotePrefix="1" applyNumberFormat="1" applyFont="1" applyAlignment="1">
      <alignment horizontal="right"/>
    </xf>
    <xf numFmtId="2" fontId="8" fillId="0" borderId="0" xfId="0" applyNumberFormat="1" applyFont="1" applyAlignment="1">
      <alignment horizontal="right" wrapText="1"/>
    </xf>
    <xf numFmtId="1" fontId="1" fillId="0" borderId="0" xfId="0" applyNumberFormat="1" applyFont="1"/>
    <xf numFmtId="3" fontId="1" fillId="0" borderId="0" xfId="0" applyNumberFormat="1" applyFont="1" applyAlignment="1">
      <alignment horizontal="right"/>
    </xf>
    <xf numFmtId="14" fontId="1" fillId="0" borderId="0" xfId="0" applyNumberFormat="1" applyFont="1"/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8" fillId="3" borderId="0" xfId="0" applyNumberFormat="1" applyFont="1" applyFill="1" applyAlignment="1">
      <alignment wrapText="1"/>
    </xf>
    <xf numFmtId="49" fontId="8" fillId="3" borderId="0" xfId="0" applyNumberFormat="1" applyFont="1" applyFill="1" applyAlignment="1">
      <alignment wrapText="1"/>
    </xf>
    <xf numFmtId="1" fontId="8" fillId="0" borderId="0" xfId="0" applyNumberFormat="1" applyFont="1" applyAlignment="1">
      <alignment wrapText="1"/>
    </xf>
    <xf numFmtId="1" fontId="8" fillId="4" borderId="0" xfId="0" applyNumberFormat="1" applyFont="1" applyFill="1" applyAlignment="1">
      <alignment wrapText="1"/>
    </xf>
    <xf numFmtId="49" fontId="8" fillId="4" borderId="0" xfId="0" applyNumberFormat="1" applyFont="1" applyFill="1" applyAlignment="1">
      <alignment wrapText="1"/>
    </xf>
    <xf numFmtId="3" fontId="11" fillId="0" borderId="0" xfId="0" applyNumberFormat="1" applyFont="1"/>
    <xf numFmtId="3" fontId="11" fillId="0" borderId="0" xfId="0" quotePrefix="1" applyNumberFormat="1" applyFont="1"/>
    <xf numFmtId="3" fontId="3" fillId="0" borderId="19" xfId="0" applyNumberFormat="1" applyFont="1" applyBorder="1" applyAlignment="1">
      <alignment horizontal="center"/>
    </xf>
    <xf numFmtId="3" fontId="4" fillId="2" borderId="1" xfId="0" applyNumberFormat="1" applyFont="1" applyFill="1" applyBorder="1"/>
    <xf numFmtId="3" fontId="11" fillId="2" borderId="3" xfId="0" applyNumberFormat="1" applyFont="1" applyFill="1" applyBorder="1"/>
    <xf numFmtId="3" fontId="11" fillId="2" borderId="1" xfId="0" applyNumberFormat="1" applyFont="1" applyFill="1" applyBorder="1"/>
    <xf numFmtId="3" fontId="4" fillId="0" borderId="3" xfId="0" applyNumberFormat="1" applyFont="1" applyBorder="1"/>
    <xf numFmtId="3" fontId="4" fillId="0" borderId="1" xfId="0" applyNumberFormat="1" applyFont="1" applyBorder="1"/>
    <xf numFmtId="1" fontId="0" fillId="0" borderId="0" xfId="0" applyNumberFormat="1"/>
    <xf numFmtId="3" fontId="3" fillId="0" borderId="22" xfId="0" applyNumberFormat="1" applyFont="1" applyBorder="1" applyAlignment="1">
      <alignment horizontal="center"/>
    </xf>
    <xf numFmtId="1" fontId="5" fillId="0" borderId="0" xfId="0" quotePrefix="1" applyNumberFormat="1" applyFont="1" applyAlignment="1">
      <alignment horizontal="right"/>
    </xf>
    <xf numFmtId="4" fontId="0" fillId="0" borderId="0" xfId="0" applyNumberFormat="1"/>
    <xf numFmtId="164" fontId="1" fillId="0" borderId="9" xfId="0" applyNumberFormat="1" applyFont="1" applyBorder="1"/>
    <xf numFmtId="164" fontId="11" fillId="0" borderId="0" xfId="0" applyNumberFormat="1" applyFont="1"/>
    <xf numFmtId="3" fontId="11" fillId="2" borderId="1" xfId="0" quotePrefix="1" applyNumberFormat="1" applyFont="1" applyFill="1" applyBorder="1" applyAlignment="1">
      <alignment horizontal="right"/>
    </xf>
    <xf numFmtId="3" fontId="12" fillId="0" borderId="0" xfId="0" applyNumberFormat="1" applyFont="1" applyAlignment="1">
      <alignment horizontal="center"/>
    </xf>
    <xf numFmtId="165" fontId="0" fillId="0" borderId="0" xfId="0" applyNumberFormat="1"/>
    <xf numFmtId="1" fontId="4" fillId="0" borderId="0" xfId="0" quotePrefix="1" applyNumberFormat="1" applyFont="1" applyAlignment="1">
      <alignment horizontal="left"/>
    </xf>
    <xf numFmtId="3" fontId="5" fillId="0" borderId="23" xfId="0" applyNumberFormat="1" applyFont="1" applyBorder="1" applyAlignment="1" applyProtection="1">
      <alignment horizontal="right"/>
    </xf>
    <xf numFmtId="3" fontId="2" fillId="0" borderId="1" xfId="0" applyNumberFormat="1" applyFont="1" applyFill="1" applyBorder="1" applyProtection="1"/>
    <xf numFmtId="3" fontId="4" fillId="2" borderId="3" xfId="0" applyNumberFormat="1" applyFont="1" applyFill="1" applyBorder="1" applyProtection="1">
      <protection locked="0"/>
    </xf>
    <xf numFmtId="3" fontId="11" fillId="2" borderId="3" xfId="0" applyNumberFormat="1" applyFont="1" applyFill="1" applyBorder="1" applyProtection="1">
      <protection locked="0"/>
    </xf>
    <xf numFmtId="3" fontId="2" fillId="0" borderId="1" xfId="0" applyNumberFormat="1" applyFont="1" applyFill="1" applyBorder="1" applyProtection="1">
      <protection locked="0"/>
    </xf>
    <xf numFmtId="3" fontId="4" fillId="2" borderId="1" xfId="0" applyNumberFormat="1" applyFont="1" applyFill="1" applyBorder="1" applyProtection="1">
      <protection locked="0"/>
    </xf>
    <xf numFmtId="3" fontId="1" fillId="0" borderId="2" xfId="0" applyNumberFormat="1" applyFont="1" applyFill="1" applyBorder="1" applyProtection="1"/>
    <xf numFmtId="3" fontId="3" fillId="0" borderId="9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0" fontId="2" fillId="0" borderId="0" xfId="0" applyFont="1"/>
    <xf numFmtId="0" fontId="13" fillId="0" borderId="0" xfId="0" applyFont="1"/>
    <xf numFmtId="4" fontId="0" fillId="0" borderId="17" xfId="0" applyNumberFormat="1" applyBorder="1"/>
    <xf numFmtId="3" fontId="1" fillId="0" borderId="26" xfId="0" applyNumberFormat="1" applyFont="1" applyBorder="1"/>
    <xf numFmtId="0" fontId="1" fillId="0" borderId="0" xfId="0" applyFont="1"/>
    <xf numFmtId="0" fontId="0" fillId="0" borderId="17" xfId="0" applyBorder="1"/>
    <xf numFmtId="3" fontId="9" fillId="0" borderId="0" xfId="0" applyNumberFormat="1" applyFont="1"/>
    <xf numFmtId="3" fontId="5" fillId="0" borderId="0" xfId="0" applyNumberFormat="1" applyFont="1" applyAlignment="1">
      <alignment horizontal="center"/>
    </xf>
    <xf numFmtId="164" fontId="1" fillId="0" borderId="0" xfId="0" applyNumberFormat="1" applyFont="1" applyBorder="1"/>
    <xf numFmtId="3" fontId="3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4" fontId="2" fillId="0" borderId="0" xfId="0" applyNumberFormat="1" applyFont="1"/>
    <xf numFmtId="0" fontId="2" fillId="0" borderId="17" xfId="0" applyFont="1" applyBorder="1" applyAlignment="1">
      <alignment horizontal="left" vertical="top" wrapText="1"/>
    </xf>
    <xf numFmtId="0" fontId="2" fillId="0" borderId="17" xfId="0" applyFont="1" applyBorder="1"/>
    <xf numFmtId="4" fontId="2" fillId="0" borderId="17" xfId="0" applyNumberFormat="1" applyFont="1" applyBorder="1"/>
    <xf numFmtId="4" fontId="2" fillId="0" borderId="23" xfId="0" applyNumberFormat="1" applyFont="1" applyBorder="1"/>
    <xf numFmtId="4" fontId="2" fillId="0" borderId="17" xfId="0" applyNumberFormat="1" applyFont="1" applyBorder="1" applyAlignment="1">
      <alignment horizontal="right" vertical="top" wrapText="1"/>
    </xf>
    <xf numFmtId="4" fontId="2" fillId="0" borderId="27" xfId="0" applyNumberFormat="1" applyFont="1" applyBorder="1"/>
    <xf numFmtId="4" fontId="0" fillId="0" borderId="0" xfId="0" applyNumberFormat="1" applyAlignment="1">
      <alignment horizontal="center" vertical="top"/>
    </xf>
    <xf numFmtId="4" fontId="2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4" fontId="14" fillId="0" borderId="0" xfId="0" applyNumberFormat="1" applyFont="1"/>
    <xf numFmtId="166" fontId="2" fillId="0" borderId="0" xfId="0" applyNumberFormat="1" applyFont="1"/>
    <xf numFmtId="0" fontId="2" fillId="0" borderId="0" xfId="0" quotePrefix="1" applyFont="1"/>
    <xf numFmtId="166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4" fillId="2" borderId="3" xfId="0" applyNumberFormat="1" applyFont="1" applyFill="1" applyBorder="1" applyProtection="1"/>
    <xf numFmtId="164" fontId="11" fillId="0" borderId="0" xfId="0" applyNumberFormat="1" applyFont="1" applyProtection="1">
      <protection locked="0"/>
    </xf>
    <xf numFmtId="0" fontId="2" fillId="0" borderId="0" xfId="0" applyFont="1" applyBorder="1"/>
    <xf numFmtId="4" fontId="2" fillId="0" borderId="0" xfId="0" applyNumberFormat="1" applyFont="1" applyBorder="1"/>
    <xf numFmtId="0" fontId="2" fillId="0" borderId="0" xfId="0" applyFont="1" applyBorder="1" applyAlignment="1">
      <alignment horizontal="left" vertical="top" wrapText="1"/>
    </xf>
    <xf numFmtId="0" fontId="0" fillId="0" borderId="0" xfId="0"/>
    <xf numFmtId="3" fontId="4" fillId="5" borderId="3" xfId="0" applyNumberFormat="1" applyFont="1" applyFill="1" applyBorder="1" applyProtection="1">
      <protection locked="0"/>
    </xf>
    <xf numFmtId="3" fontId="4" fillId="6" borderId="0" xfId="0" applyNumberFormat="1" applyFont="1" applyFill="1" applyAlignment="1">
      <alignment horizontal="center"/>
    </xf>
    <xf numFmtId="0" fontId="0" fillId="0" borderId="0" xfId="0"/>
    <xf numFmtId="0" fontId="0" fillId="0" borderId="0" xfId="0"/>
    <xf numFmtId="0" fontId="15" fillId="0" borderId="0" xfId="0" applyFont="1" applyAlignment="1">
      <alignment horizontal="left" vertical="top" wrapText="1"/>
    </xf>
    <xf numFmtId="0" fontId="15" fillId="0" borderId="0" xfId="0" applyFont="1"/>
    <xf numFmtId="4" fontId="15" fillId="0" borderId="0" xfId="0" applyNumberFormat="1" applyFont="1"/>
    <xf numFmtId="0" fontId="0" fillId="0" borderId="0" xfId="0" applyFont="1" applyFill="1" applyBorder="1"/>
    <xf numFmtId="0" fontId="0" fillId="0" borderId="0" xfId="0"/>
    <xf numFmtId="3" fontId="4" fillId="2" borderId="1" xfId="0" applyNumberFormat="1" applyFont="1" applyFill="1" applyBorder="1" applyProtection="1"/>
    <xf numFmtId="3" fontId="4" fillId="5" borderId="3" xfId="0" applyNumberFormat="1" applyFont="1" applyFill="1" applyBorder="1"/>
    <xf numFmtId="3" fontId="4" fillId="0" borderId="27" xfId="0" applyNumberFormat="1" applyFont="1" applyBorder="1" applyAlignment="1" applyProtection="1">
      <alignment horizontal="right"/>
      <protection locked="0" hidden="1"/>
    </xf>
    <xf numFmtId="4" fontId="16" fillId="0" borderId="0" xfId="0" applyNumberFormat="1" applyFont="1" applyAlignment="1">
      <alignment horizontal="right"/>
    </xf>
    <xf numFmtId="3" fontId="4" fillId="5" borderId="3" xfId="0" applyNumberFormat="1" applyFont="1" applyFill="1" applyBorder="1" applyProtection="1"/>
    <xf numFmtId="0" fontId="0" fillId="0" borderId="0" xfId="0" applyNumberFormat="1" applyFont="1"/>
    <xf numFmtId="0" fontId="16" fillId="0" borderId="0" xfId="0" applyNumberFormat="1" applyFont="1"/>
    <xf numFmtId="0" fontId="16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center"/>
    </xf>
    <xf numFmtId="0" fontId="16" fillId="0" borderId="0" xfId="0" applyNumberFormat="1" applyFont="1"/>
    <xf numFmtId="0" fontId="0" fillId="0" borderId="0" xfId="0" applyNumberFormat="1" applyFont="1"/>
    <xf numFmtId="0" fontId="0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3"/>
  <sheetViews>
    <sheetView tabSelected="1" zoomScale="120" zoomScaleNormal="120" workbookViewId="0">
      <selection activeCell="K2" sqref="K2"/>
    </sheetView>
  </sheetViews>
  <sheetFormatPr defaultColWidth="9.1796875" defaultRowHeight="12.5" x14ac:dyDescent="0.25"/>
  <cols>
    <col min="1" max="1" width="33.26953125" style="20" customWidth="1"/>
    <col min="2" max="5" width="10.54296875" style="20" customWidth="1"/>
    <col min="6" max="6" width="11.26953125" style="20" bestFit="1" customWidth="1"/>
    <col min="7" max="8" width="10.54296875" style="20" customWidth="1"/>
    <col min="9" max="9" width="5.26953125" style="20" customWidth="1"/>
    <col min="10" max="10" width="8" style="20" customWidth="1"/>
    <col min="11" max="11" width="9.81640625" style="20" bestFit="1" customWidth="1"/>
    <col min="12" max="12" width="10.54296875" style="20" customWidth="1"/>
    <col min="13" max="13" width="5.26953125" style="20" customWidth="1"/>
    <col min="14" max="14" width="12.81640625" style="20" customWidth="1"/>
    <col min="15" max="16384" width="9.1796875" style="20"/>
  </cols>
  <sheetData>
    <row r="1" spans="1:17" x14ac:dyDescent="0.25">
      <c r="F1" s="52"/>
      <c r="G1" s="53"/>
      <c r="H1" s="53"/>
      <c r="I1" s="53"/>
      <c r="J1" s="53"/>
      <c r="L1" s="53"/>
    </row>
    <row r="2" spans="1:17" s="8" customFormat="1" ht="13" x14ac:dyDescent="0.3">
      <c r="A2" s="70" t="s">
        <v>196</v>
      </c>
      <c r="B2" s="69">
        <v>2016</v>
      </c>
      <c r="C2" s="72" t="s">
        <v>197</v>
      </c>
      <c r="D2" s="69">
        <v>2017</v>
      </c>
      <c r="E2" s="72" t="s">
        <v>198</v>
      </c>
      <c r="F2" s="71">
        <v>42736</v>
      </c>
      <c r="G2" s="73" t="s">
        <v>199</v>
      </c>
      <c r="H2" s="71">
        <v>43100</v>
      </c>
      <c r="K2" s="5"/>
      <c r="L2" s="71"/>
    </row>
    <row r="3" spans="1:17" ht="13" thickBot="1" x14ac:dyDescent="0.3">
      <c r="N3" s="57" t="s">
        <v>16</v>
      </c>
      <c r="O3" s="58" t="s">
        <v>13</v>
      </c>
      <c r="P3" s="58" t="s">
        <v>366</v>
      </c>
    </row>
    <row r="4" spans="1:17" ht="13" x14ac:dyDescent="0.3">
      <c r="A4" s="23" t="s">
        <v>177</v>
      </c>
      <c r="B4" s="24"/>
      <c r="C4" s="24"/>
      <c r="D4" s="24"/>
      <c r="E4" s="24"/>
      <c r="F4" s="24"/>
      <c r="G4" s="24"/>
      <c r="H4" s="25"/>
      <c r="I4" s="26"/>
      <c r="J4" s="39"/>
      <c r="K4" s="24"/>
      <c r="L4" s="25"/>
      <c r="M4" s="38"/>
      <c r="N4" s="67">
        <f>B2</f>
        <v>2016</v>
      </c>
      <c r="O4" s="56">
        <v>2390</v>
      </c>
      <c r="P4" s="56"/>
    </row>
    <row r="5" spans="1:17" x14ac:dyDescent="0.25">
      <c r="A5" s="18"/>
      <c r="B5" s="43" t="s">
        <v>1</v>
      </c>
      <c r="C5" s="44">
        <f>B2-1</f>
        <v>2015</v>
      </c>
      <c r="D5" s="47" t="s">
        <v>0</v>
      </c>
      <c r="E5" s="48">
        <f>B2</f>
        <v>2016</v>
      </c>
      <c r="F5" s="43" t="s">
        <v>1</v>
      </c>
      <c r="G5" s="48">
        <f>B2</f>
        <v>2016</v>
      </c>
      <c r="H5" s="48" t="s">
        <v>2</v>
      </c>
      <c r="I5" s="4" t="s">
        <v>14</v>
      </c>
      <c r="J5" s="47" t="s">
        <v>0</v>
      </c>
      <c r="K5" s="48">
        <f>D2</f>
        <v>2017</v>
      </c>
      <c r="L5" s="48" t="s">
        <v>244</v>
      </c>
      <c r="M5" s="4" t="s">
        <v>14</v>
      </c>
      <c r="N5" s="58" t="s">
        <v>195</v>
      </c>
      <c r="O5" s="137">
        <v>0</v>
      </c>
      <c r="P5" s="56"/>
      <c r="Q5" s="49"/>
    </row>
    <row r="6" spans="1:17" ht="13.5" thickBot="1" x14ac:dyDescent="0.35">
      <c r="A6" s="29" t="s">
        <v>3</v>
      </c>
      <c r="B6" s="30"/>
      <c r="C6" s="31"/>
      <c r="D6" s="32"/>
      <c r="E6" s="33"/>
      <c r="F6" s="30"/>
      <c r="G6" s="33"/>
      <c r="H6" s="88" t="s">
        <v>4</v>
      </c>
      <c r="I6" s="4"/>
      <c r="J6" s="32"/>
      <c r="K6" s="33"/>
      <c r="L6" s="88" t="s">
        <v>4</v>
      </c>
      <c r="M6" s="4"/>
      <c r="N6" s="89">
        <f>D2</f>
        <v>2017</v>
      </c>
      <c r="O6" s="97">
        <f>SUM(O4:O5)</f>
        <v>2390</v>
      </c>
      <c r="P6" s="153">
        <f>2*O6</f>
        <v>4780</v>
      </c>
    </row>
    <row r="7" spans="1:17" ht="13.5" thickTop="1" x14ac:dyDescent="0.3">
      <c r="A7" s="35" t="str">
        <f>Saldobalance!B6</f>
        <v>GEF ejerne</v>
      </c>
      <c r="B7" s="13"/>
      <c r="C7" s="3">
        <v>-759000</v>
      </c>
      <c r="D7" s="13"/>
      <c r="E7" s="15">
        <v>-717000</v>
      </c>
      <c r="F7" s="13"/>
      <c r="G7" s="15">
        <f>Saldobalance!D6</f>
        <v>-717000</v>
      </c>
      <c r="H7" s="9">
        <f>(G7-E7)/E7*100</f>
        <v>0</v>
      </c>
      <c r="I7" s="4"/>
      <c r="J7" s="13"/>
      <c r="K7" s="6">
        <f>-(25*12+9+4)*(O6)</f>
        <v>-748070</v>
      </c>
      <c r="L7" s="9">
        <f>(K7-E7)/E7*100</f>
        <v>4.3333333333333339</v>
      </c>
      <c r="M7" s="4" t="s">
        <v>325</v>
      </c>
      <c r="P7" s="56"/>
    </row>
    <row r="8" spans="1:17" ht="13.5" thickBot="1" x14ac:dyDescent="0.35">
      <c r="A8" s="35" t="str">
        <f>Saldobalance!B7</f>
        <v>GEF lejerne</v>
      </c>
      <c r="B8" s="13"/>
      <c r="C8" s="6">
        <v>-42293.25</v>
      </c>
      <c r="D8" s="13"/>
      <c r="E8" s="6">
        <v>-43020</v>
      </c>
      <c r="F8" s="13"/>
      <c r="G8" s="6">
        <f>Saldobalance!D7</f>
        <v>-43020</v>
      </c>
      <c r="H8" s="9">
        <f>(G8-E8)/E8*100</f>
        <v>0</v>
      </c>
      <c r="I8" s="4"/>
      <c r="J8" s="13"/>
      <c r="K8" s="6">
        <f>-(O6*12)*1.5*(3+8)/24</f>
        <v>-19717.5</v>
      </c>
      <c r="L8" s="9">
        <f>(K8-E8)/E8*100</f>
        <v>-54.166666666666664</v>
      </c>
      <c r="M8" s="4" t="s">
        <v>325</v>
      </c>
      <c r="N8" s="79" t="s">
        <v>245</v>
      </c>
      <c r="O8" s="92">
        <f>O6*0.75*2/2</f>
        <v>1792.5</v>
      </c>
      <c r="P8" s="153">
        <f>O8*2</f>
        <v>3585</v>
      </c>
    </row>
    <row r="9" spans="1:17" ht="13.5" thickTop="1" x14ac:dyDescent="0.3">
      <c r="A9" s="35" t="str">
        <f>Saldobalance!B8</f>
        <v xml:space="preserve">Rykkergebyr </v>
      </c>
      <c r="B9" s="13"/>
      <c r="C9" s="3">
        <v>-1000</v>
      </c>
      <c r="D9" s="13"/>
      <c r="E9" s="6">
        <v>-2000</v>
      </c>
      <c r="F9" s="13"/>
      <c r="G9" s="6">
        <f>Saldobalance!D8</f>
        <v>-1700</v>
      </c>
      <c r="H9" s="9">
        <f>(G9-E9)/E9*100</f>
        <v>-15</v>
      </c>
      <c r="I9" s="4"/>
      <c r="J9" s="13"/>
      <c r="K9" s="6">
        <v>-2000</v>
      </c>
      <c r="L9" s="9">
        <f>(K9-E9)/E9*100</f>
        <v>0</v>
      </c>
      <c r="M9" s="4"/>
      <c r="N9" s="79" t="s">
        <v>257</v>
      </c>
      <c r="O9" s="92">
        <f>O5*1.5</f>
        <v>0</v>
      </c>
      <c r="P9" s="56"/>
    </row>
    <row r="10" spans="1:17" ht="13" x14ac:dyDescent="0.3">
      <c r="A10" s="35" t="str">
        <f>Saldobalance!B9</f>
        <v>Andre indtægter</v>
      </c>
      <c r="B10" s="13"/>
      <c r="C10" s="51">
        <v>0</v>
      </c>
      <c r="D10" s="13"/>
      <c r="E10" s="6">
        <v>0</v>
      </c>
      <c r="F10" s="13"/>
      <c r="G10" s="6">
        <f>Saldobalance!D9</f>
        <v>0</v>
      </c>
      <c r="H10" s="88" t="str">
        <f>IF(E10=0, "--",(G10-E10)/E10*100)</f>
        <v>--</v>
      </c>
      <c r="I10" s="4"/>
      <c r="J10" s="13"/>
      <c r="K10" s="51">
        <v>-25000</v>
      </c>
      <c r="L10" s="88" t="str">
        <f>IF(E10=0,"--",(K10-E10)/E10*100)</f>
        <v>--</v>
      </c>
      <c r="M10" s="4" t="s">
        <v>327</v>
      </c>
      <c r="P10" s="56"/>
    </row>
    <row r="11" spans="1:17" ht="13.5" thickBot="1" x14ac:dyDescent="0.35">
      <c r="A11" s="21" t="str">
        <f>Saldobalance!B10</f>
        <v>Fællesindtægter i alt</v>
      </c>
      <c r="B11" s="37"/>
      <c r="C11" s="7">
        <v>-802293.25</v>
      </c>
      <c r="D11" s="37"/>
      <c r="E11" s="7">
        <v>-762020</v>
      </c>
      <c r="F11" s="37"/>
      <c r="G11" s="7">
        <f>Saldobalance!D10</f>
        <v>-761720</v>
      </c>
      <c r="H11" s="105">
        <f>(G11-E11)/E11*100</f>
        <v>-3.9369045431878427E-2</v>
      </c>
      <c r="I11" s="4"/>
      <c r="J11" s="37"/>
      <c r="K11" s="103">
        <f>SUM(K7:K10)</f>
        <v>-794787.5</v>
      </c>
      <c r="L11" s="106">
        <f>(K11-E11)/E11*100</f>
        <v>4.3000839872969214</v>
      </c>
      <c r="M11" s="4"/>
      <c r="P11" s="56"/>
    </row>
    <row r="12" spans="1:17" ht="13" x14ac:dyDescent="0.3">
      <c r="A12" s="12"/>
      <c r="B12" s="1"/>
      <c r="D12" s="1"/>
      <c r="F12" s="1"/>
      <c r="I12" s="4"/>
      <c r="J12" s="1"/>
      <c r="M12" s="4"/>
      <c r="P12" s="56"/>
    </row>
    <row r="13" spans="1:17" ht="13.5" thickBot="1" x14ac:dyDescent="0.35">
      <c r="A13" s="12"/>
      <c r="B13" s="1"/>
      <c r="C13" s="17"/>
      <c r="D13" s="1"/>
      <c r="E13" s="17"/>
      <c r="F13" s="1"/>
      <c r="G13" s="17"/>
      <c r="H13" s="17"/>
      <c r="I13" s="4"/>
      <c r="J13" s="1"/>
      <c r="K13" s="17"/>
      <c r="L13" s="17"/>
      <c r="M13" s="4"/>
      <c r="P13" s="56"/>
    </row>
    <row r="14" spans="1:17" ht="13" x14ac:dyDescent="0.3">
      <c r="A14" s="23" t="s">
        <v>178</v>
      </c>
      <c r="B14" s="39"/>
      <c r="C14" s="24"/>
      <c r="D14" s="24"/>
      <c r="E14" s="24"/>
      <c r="F14" s="24"/>
      <c r="G14" s="24"/>
      <c r="H14" s="40"/>
      <c r="I14" s="4"/>
      <c r="J14" s="39"/>
      <c r="K14" s="24"/>
      <c r="L14" s="25"/>
      <c r="M14" s="4"/>
      <c r="N14" s="79" t="s">
        <v>221</v>
      </c>
      <c r="O14" s="79"/>
      <c r="P14" s="56"/>
    </row>
    <row r="15" spans="1:17" x14ac:dyDescent="0.25">
      <c r="A15" s="18"/>
      <c r="B15" s="45" t="str">
        <f>$B$5</f>
        <v xml:space="preserve">Regnskab </v>
      </c>
      <c r="C15" s="46">
        <f>$C$5</f>
        <v>2015</v>
      </c>
      <c r="D15" s="45" t="str">
        <f>$D$5</f>
        <v xml:space="preserve">Budget </v>
      </c>
      <c r="E15" s="46">
        <f>$E$5</f>
        <v>2016</v>
      </c>
      <c r="F15" s="45" t="str">
        <f>$F$5</f>
        <v xml:space="preserve">Regnskab </v>
      </c>
      <c r="G15" s="46">
        <f>$G$5</f>
        <v>2016</v>
      </c>
      <c r="H15" s="46" t="str">
        <f>$H$5</f>
        <v xml:space="preserve">Difference </v>
      </c>
      <c r="I15" s="4"/>
      <c r="J15" s="45" t="str">
        <f>$J$5</f>
        <v xml:space="preserve">Budget </v>
      </c>
      <c r="K15" s="46">
        <f>$K$5</f>
        <v>2017</v>
      </c>
      <c r="L15" s="46" t="str">
        <f>$L$5</f>
        <v>Stigning</v>
      </c>
      <c r="M15" s="4"/>
      <c r="N15" s="79" t="s">
        <v>222</v>
      </c>
      <c r="O15" s="92">
        <f>K142</f>
        <v>4227.6277235987363</v>
      </c>
      <c r="P15" s="56"/>
    </row>
    <row r="16" spans="1:17" ht="13" x14ac:dyDescent="0.3">
      <c r="A16" s="29" t="s">
        <v>3</v>
      </c>
      <c r="B16" s="32"/>
      <c r="C16" s="33"/>
      <c r="D16" s="32"/>
      <c r="E16" s="33"/>
      <c r="F16" s="32"/>
      <c r="G16" s="33"/>
      <c r="H16" s="88" t="s">
        <v>4</v>
      </c>
      <c r="I16" s="4"/>
      <c r="J16" s="32"/>
      <c r="K16" s="33"/>
      <c r="L16" s="88" t="s">
        <v>4</v>
      </c>
      <c r="M16" s="4"/>
      <c r="N16" s="80" t="s">
        <v>241</v>
      </c>
      <c r="O16" s="92">
        <f>-K80</f>
        <v>-8188.6216666666733</v>
      </c>
      <c r="P16" s="56"/>
    </row>
    <row r="17" spans="1:17" x14ac:dyDescent="0.25">
      <c r="A17" s="19"/>
      <c r="B17" s="13"/>
      <c r="C17" s="6"/>
      <c r="D17" s="13"/>
      <c r="E17" s="6"/>
      <c r="F17" s="13"/>
      <c r="G17" s="6"/>
      <c r="H17" s="6"/>
      <c r="I17" s="4"/>
      <c r="J17" s="13"/>
      <c r="K17" s="6"/>
      <c r="L17" s="6"/>
      <c r="M17" s="4"/>
      <c r="N17" s="79"/>
      <c r="O17" s="92"/>
      <c r="P17" s="56"/>
    </row>
    <row r="18" spans="1:17" ht="13" x14ac:dyDescent="0.3">
      <c r="A18" s="35" t="str">
        <f>Saldobalance!B14</f>
        <v>Rep og vedligehold</v>
      </c>
      <c r="B18" s="13"/>
      <c r="C18" s="2">
        <v>86300.77</v>
      </c>
      <c r="D18" s="13"/>
      <c r="E18" s="2">
        <f>Saldobalance!C22</f>
        <v>102000</v>
      </c>
      <c r="F18" s="13"/>
      <c r="G18" s="2">
        <f>Saldobalance!D22</f>
        <v>88631.829999999987</v>
      </c>
      <c r="H18" s="9">
        <f>(G18-E18)/E18*100</f>
        <v>-13.106049019607854</v>
      </c>
      <c r="I18" s="4"/>
      <c r="J18" s="13"/>
      <c r="K18" s="2">
        <f>SUM(J19:J25)</f>
        <v>117000</v>
      </c>
      <c r="L18" s="9">
        <f>(K18-E18)/E18*100</f>
        <v>14.705882352941178</v>
      </c>
      <c r="M18" s="4"/>
      <c r="N18" s="79" t="s">
        <v>223</v>
      </c>
      <c r="O18" s="92"/>
      <c r="P18" s="56"/>
    </row>
    <row r="19" spans="1:17" x14ac:dyDescent="0.25">
      <c r="A19" s="10" t="str">
        <f>Saldobalance!B15</f>
        <v>Rep maskiner og anlæg</v>
      </c>
      <c r="B19" s="10">
        <v>18873.07</v>
      </c>
      <c r="C19" s="11"/>
      <c r="D19" s="10">
        <f>Saldobalance!C15</f>
        <v>20000</v>
      </c>
      <c r="E19" s="11"/>
      <c r="F19" s="10">
        <f>Saldobalance!D15+11000</f>
        <v>17339.02</v>
      </c>
      <c r="G19" s="11"/>
      <c r="H19" s="11"/>
      <c r="I19" s="4"/>
      <c r="J19" s="142">
        <v>20000</v>
      </c>
      <c r="K19" s="11"/>
      <c r="L19" s="11"/>
      <c r="M19" s="143"/>
      <c r="N19" s="80" t="s">
        <v>242</v>
      </c>
      <c r="O19" s="92">
        <f>O6+(-O15/(25*12))</f>
        <v>2375.907907588004</v>
      </c>
      <c r="P19" s="56"/>
    </row>
    <row r="20" spans="1:17" x14ac:dyDescent="0.25">
      <c r="A20" s="10" t="str">
        <f>Saldobalance!B16</f>
        <v>Rep og service Gasfyr</v>
      </c>
      <c r="B20" s="10">
        <v>40076.400000000001</v>
      </c>
      <c r="C20" s="11"/>
      <c r="D20" s="10">
        <f>Saldobalance!C16</f>
        <v>20000</v>
      </c>
      <c r="E20" s="11"/>
      <c r="F20" s="10">
        <f>Saldobalance!D16</f>
        <v>2475</v>
      </c>
      <c r="G20" s="11"/>
      <c r="H20" s="11"/>
      <c r="I20" s="4">
        <v>1</v>
      </c>
      <c r="J20" s="99">
        <v>30000</v>
      </c>
      <c r="K20" s="11"/>
      <c r="L20" s="11"/>
      <c r="M20" s="4" t="s">
        <v>328</v>
      </c>
      <c r="N20" s="80" t="s">
        <v>239</v>
      </c>
      <c r="O20" s="92">
        <f>O19-O6</f>
        <v>-14.092092411995964</v>
      </c>
      <c r="P20" s="56"/>
      <c r="Q20" s="96"/>
    </row>
    <row r="21" spans="1:17" x14ac:dyDescent="0.25">
      <c r="A21" s="10" t="str">
        <f>Saldobalance!B17</f>
        <v>Rep. vaskeriet</v>
      </c>
      <c r="B21" s="83">
        <v>1837.19</v>
      </c>
      <c r="C21" s="84"/>
      <c r="D21" s="83">
        <f>Saldobalance!C17</f>
        <v>10000</v>
      </c>
      <c r="E21" s="84"/>
      <c r="F21" s="83">
        <f>Saldobalance!D17</f>
        <v>20771.439999999999</v>
      </c>
      <c r="G21" s="84"/>
      <c r="H21" s="84"/>
      <c r="I21" s="4">
        <v>2</v>
      </c>
      <c r="J21" s="99">
        <v>20000</v>
      </c>
      <c r="K21" s="11"/>
      <c r="L21" s="84"/>
      <c r="M21" s="4"/>
      <c r="P21" s="56"/>
      <c r="Q21" s="67"/>
    </row>
    <row r="22" spans="1:17" x14ac:dyDescent="0.25">
      <c r="A22" s="10" t="str">
        <f>Saldobalance!B18</f>
        <v>Indv. vedl. FÆ-hus</v>
      </c>
      <c r="B22" s="10">
        <v>1497.21</v>
      </c>
      <c r="C22" s="11"/>
      <c r="D22" s="10">
        <f>Saldobalance!C18</f>
        <v>6000</v>
      </c>
      <c r="E22" s="11"/>
      <c r="F22" s="10">
        <f>Saldobalance!D18-11000</f>
        <v>3228.4599999999991</v>
      </c>
      <c r="G22" s="11"/>
      <c r="H22" s="11"/>
      <c r="I22" s="4"/>
      <c r="J22" s="99">
        <v>6000</v>
      </c>
      <c r="K22" s="11"/>
      <c r="L22" s="11"/>
      <c r="M22" s="161"/>
      <c r="P22" s="56"/>
      <c r="Q22" s="67"/>
    </row>
    <row r="23" spans="1:17" x14ac:dyDescent="0.25">
      <c r="A23" s="10" t="str">
        <f>Saldobalance!B19</f>
        <v>Udv. vedl. FÆ-hus</v>
      </c>
      <c r="B23" s="10">
        <v>620.85</v>
      </c>
      <c r="C23" s="11"/>
      <c r="D23" s="10">
        <f>Saldobalance!C19</f>
        <v>6000</v>
      </c>
      <c r="E23" s="11"/>
      <c r="F23" s="10">
        <f>Saldobalance!D19</f>
        <v>422.6</v>
      </c>
      <c r="G23" s="11"/>
      <c r="H23" s="11"/>
      <c r="I23" s="4"/>
      <c r="J23" s="142">
        <v>6000</v>
      </c>
      <c r="K23" s="11"/>
      <c r="L23" s="11"/>
      <c r="M23" s="4"/>
      <c r="P23" s="56"/>
      <c r="Q23" s="67"/>
    </row>
    <row r="24" spans="1:17" x14ac:dyDescent="0.25">
      <c r="A24" s="10" t="str">
        <f>Saldobalance!B20</f>
        <v>Vedl. fællesarealer</v>
      </c>
      <c r="B24" s="10">
        <v>23396.05</v>
      </c>
      <c r="C24" s="11"/>
      <c r="D24" s="10">
        <f>Saldobalance!C20</f>
        <v>40000</v>
      </c>
      <c r="E24" s="11"/>
      <c r="F24" s="10">
        <f>Saldobalance!D20</f>
        <v>65395.31</v>
      </c>
      <c r="G24" s="11"/>
      <c r="H24" s="11"/>
      <c r="I24" s="4">
        <v>3</v>
      </c>
      <c r="J24" s="142">
        <v>35000</v>
      </c>
      <c r="K24" s="11"/>
      <c r="L24" s="11"/>
      <c r="M24" s="4" t="s">
        <v>331</v>
      </c>
      <c r="N24" s="3"/>
      <c r="P24" s="56"/>
      <c r="Q24" s="67"/>
    </row>
    <row r="25" spans="1:17" x14ac:dyDescent="0.25">
      <c r="A25" s="10" t="str">
        <f>Saldobalance!B21</f>
        <v>Snerydning</v>
      </c>
      <c r="B25" s="10">
        <v>0</v>
      </c>
      <c r="C25" s="11"/>
      <c r="D25" s="10">
        <f>Saldobalance!C21</f>
        <v>0</v>
      </c>
      <c r="E25" s="11"/>
      <c r="F25" s="10">
        <f>Saldobalance!D21</f>
        <v>-21000</v>
      </c>
      <c r="G25" s="11"/>
      <c r="H25" s="11"/>
      <c r="I25" s="4">
        <v>4</v>
      </c>
      <c r="J25" s="99">
        <v>0</v>
      </c>
      <c r="K25" s="11"/>
      <c r="L25" s="11"/>
      <c r="M25" s="4" t="s">
        <v>329</v>
      </c>
      <c r="N25" s="96"/>
      <c r="O25" s="67"/>
      <c r="P25" s="56"/>
    </row>
    <row r="26" spans="1:17" x14ac:dyDescent="0.25">
      <c r="A26" s="19"/>
      <c r="B26" s="13"/>
      <c r="C26" s="6"/>
      <c r="D26" s="13"/>
      <c r="E26" s="6"/>
      <c r="F26" s="13"/>
      <c r="G26" s="6"/>
      <c r="H26" s="6"/>
      <c r="I26" s="4"/>
      <c r="J26" s="13"/>
      <c r="K26" s="6"/>
      <c r="L26" s="6"/>
      <c r="M26" s="4"/>
      <c r="P26" s="56"/>
    </row>
    <row r="27" spans="1:17" ht="13" x14ac:dyDescent="0.3">
      <c r="A27" s="35" t="str">
        <f>Saldobalance!B24</f>
        <v>Drift Fælleshus mv.</v>
      </c>
      <c r="B27" s="13"/>
      <c r="C27" s="2">
        <v>19899.86</v>
      </c>
      <c r="D27" s="13"/>
      <c r="E27" s="2">
        <f>Saldobalance!C32</f>
        <v>29200</v>
      </c>
      <c r="F27" s="13"/>
      <c r="G27" s="2">
        <f>Saldobalance!D32</f>
        <v>16918.099999999999</v>
      </c>
      <c r="H27" s="9">
        <f>(G27-E27)/E27*100</f>
        <v>-42.061301369863017</v>
      </c>
      <c r="I27" s="4"/>
      <c r="J27" s="13"/>
      <c r="K27" s="98">
        <f>SUM(J28:J34)</f>
        <v>28500</v>
      </c>
      <c r="L27" s="9">
        <f>(K27-E27)/E27*100</f>
        <v>-2.3972602739726026</v>
      </c>
      <c r="M27" s="4"/>
      <c r="P27" s="56"/>
    </row>
    <row r="28" spans="1:17" x14ac:dyDescent="0.25">
      <c r="A28" s="10" t="str">
        <f>Saldobalance!B25</f>
        <v>Inventar</v>
      </c>
      <c r="B28" s="10">
        <v>5550.8</v>
      </c>
      <c r="C28" s="11"/>
      <c r="D28" s="10">
        <f>Saldobalance!C25</f>
        <v>2000</v>
      </c>
      <c r="E28" s="11"/>
      <c r="F28" s="10">
        <f>Saldobalance!D25</f>
        <v>1493</v>
      </c>
      <c r="G28" s="11"/>
      <c r="H28" s="11"/>
      <c r="I28" s="4"/>
      <c r="J28" s="99">
        <v>2000</v>
      </c>
      <c r="K28" s="11"/>
      <c r="L28" s="11"/>
      <c r="M28" s="4"/>
    </row>
    <row r="29" spans="1:17" x14ac:dyDescent="0.25">
      <c r="A29" s="10" t="str">
        <f>Saldobalance!B26</f>
        <v>Køkkenudstyr</v>
      </c>
      <c r="B29" s="10">
        <v>6576.71</v>
      </c>
      <c r="C29" s="11"/>
      <c r="D29" s="10">
        <f>Saldobalance!C26</f>
        <v>9000</v>
      </c>
      <c r="E29" s="11"/>
      <c r="F29" s="10">
        <f>Saldobalance!D26</f>
        <v>2586.7800000000002</v>
      </c>
      <c r="G29" s="11"/>
      <c r="H29" s="11"/>
      <c r="I29" s="4"/>
      <c r="J29" s="99">
        <v>9000</v>
      </c>
      <c r="K29" s="11"/>
      <c r="L29" s="11"/>
      <c r="M29" s="4"/>
    </row>
    <row r="30" spans="1:17" x14ac:dyDescent="0.25">
      <c r="A30" s="10" t="str">
        <f>Saldobalance!B27</f>
        <v>EL-artik, pærer mv</v>
      </c>
      <c r="B30" s="10">
        <v>824.1</v>
      </c>
      <c r="C30" s="11"/>
      <c r="D30" s="10">
        <f>Saldobalance!C27</f>
        <v>3000</v>
      </c>
      <c r="E30" s="11"/>
      <c r="F30" s="10">
        <f>Saldobalance!D27</f>
        <v>1667.75</v>
      </c>
      <c r="G30" s="11"/>
      <c r="H30" s="11"/>
      <c r="I30" s="4"/>
      <c r="J30" s="99">
        <v>3000</v>
      </c>
      <c r="K30" s="11"/>
      <c r="L30" s="11"/>
      <c r="M30" s="4"/>
    </row>
    <row r="31" spans="1:17" x14ac:dyDescent="0.25">
      <c r="A31" s="10" t="str">
        <f>Saldobalance!B28</f>
        <v>Rengøringsmidler/-artikler, papir</v>
      </c>
      <c r="B31" s="10">
        <v>4900.71</v>
      </c>
      <c r="C31" s="11"/>
      <c r="D31" s="10">
        <f>Saldobalance!C28</f>
        <v>10000</v>
      </c>
      <c r="E31" s="11"/>
      <c r="F31" s="10">
        <f>Saldobalance!D28</f>
        <v>8526.7099999999991</v>
      </c>
      <c r="G31" s="11"/>
      <c r="H31" s="11"/>
      <c r="I31" s="4"/>
      <c r="J31" s="99">
        <v>10000</v>
      </c>
      <c r="K31" s="11"/>
      <c r="L31" s="11"/>
      <c r="M31" s="4"/>
    </row>
    <row r="32" spans="1:17" x14ac:dyDescent="0.25">
      <c r="A32" s="10" t="str">
        <f>Saldobalance!B29</f>
        <v>Lys, blomster</v>
      </c>
      <c r="B32" s="10">
        <v>0</v>
      </c>
      <c r="C32" s="11"/>
      <c r="D32" s="10">
        <f>Saldobalance!C29</f>
        <v>1200</v>
      </c>
      <c r="E32" s="11"/>
      <c r="F32" s="10">
        <f>Saldobalance!D29</f>
        <v>0</v>
      </c>
      <c r="G32" s="11"/>
      <c r="H32" s="11"/>
      <c r="I32" s="4"/>
      <c r="J32" s="99">
        <v>500</v>
      </c>
      <c r="K32" s="11"/>
      <c r="L32" s="11"/>
      <c r="M32" s="4" t="s">
        <v>364</v>
      </c>
    </row>
    <row r="33" spans="1:13" x14ac:dyDescent="0.25">
      <c r="A33" s="10" t="str">
        <f>Saldobalance!B30</f>
        <v>Krydderier</v>
      </c>
      <c r="B33" s="10">
        <v>2047.54</v>
      </c>
      <c r="C33" s="11"/>
      <c r="D33" s="10">
        <f>Saldobalance!C30</f>
        <v>2000</v>
      </c>
      <c r="E33" s="11"/>
      <c r="F33" s="10">
        <f>Saldobalance!D30</f>
        <v>2538.86</v>
      </c>
      <c r="G33" s="11"/>
      <c r="H33" s="11"/>
      <c r="I33" s="4"/>
      <c r="J33" s="99">
        <v>2000</v>
      </c>
      <c r="K33" s="11"/>
      <c r="L33" s="11"/>
      <c r="M33" s="4"/>
    </row>
    <row r="34" spans="1:13" x14ac:dyDescent="0.25">
      <c r="A34" s="10" t="str">
        <f>Saldobalance!B31</f>
        <v>Diverse Fælleshus</v>
      </c>
      <c r="B34" s="10">
        <v>0</v>
      </c>
      <c r="C34" s="11"/>
      <c r="D34" s="10">
        <f>Saldobalance!C31</f>
        <v>2000</v>
      </c>
      <c r="E34" s="11"/>
      <c r="F34" s="10">
        <f>Saldobalance!D31</f>
        <v>105</v>
      </c>
      <c r="G34" s="11"/>
      <c r="H34" s="11"/>
      <c r="I34" s="4"/>
      <c r="J34" s="99">
        <v>2000</v>
      </c>
      <c r="K34" s="11"/>
      <c r="L34" s="11"/>
      <c r="M34" s="4"/>
    </row>
    <row r="35" spans="1:13" x14ac:dyDescent="0.25">
      <c r="A35" s="19"/>
      <c r="B35" s="13"/>
      <c r="C35" s="2"/>
      <c r="D35" s="13"/>
      <c r="E35" s="2"/>
      <c r="F35" s="13"/>
      <c r="G35" s="2"/>
      <c r="H35" s="2"/>
      <c r="I35" s="4"/>
      <c r="J35" s="13"/>
      <c r="K35" s="2"/>
      <c r="L35" s="2"/>
      <c r="M35" s="4"/>
    </row>
    <row r="36" spans="1:13" ht="13" x14ac:dyDescent="0.3">
      <c r="A36" s="35" t="str">
        <f>Saldobalance!B34</f>
        <v>Arrang/kultur/gaver</v>
      </c>
      <c r="B36" s="13"/>
      <c r="C36" s="2">
        <v>46341.54</v>
      </c>
      <c r="D36" s="13"/>
      <c r="E36" s="2">
        <f>Saldobalance!C45</f>
        <v>54000</v>
      </c>
      <c r="F36" s="13"/>
      <c r="G36" s="2">
        <f>Saldobalance!D45</f>
        <v>45763.939999999995</v>
      </c>
      <c r="H36" s="9">
        <f>(G36-E36)/E36*100</f>
        <v>-15.251962962962972</v>
      </c>
      <c r="I36" s="4"/>
      <c r="J36" s="13"/>
      <c r="K36" s="98">
        <f>SUM(J37:J45)</f>
        <v>60000</v>
      </c>
      <c r="L36" s="9">
        <f>(K36-E36)/E36*100</f>
        <v>11.111111111111111</v>
      </c>
      <c r="M36" s="4"/>
    </row>
    <row r="37" spans="1:13" x14ac:dyDescent="0.25">
      <c r="A37" s="10" t="str">
        <f>Saldobalance!B35</f>
        <v>Gaver</v>
      </c>
      <c r="B37" s="10">
        <v>5691.95</v>
      </c>
      <c r="C37" s="11"/>
      <c r="D37" s="10">
        <f>Saldobalance!C35</f>
        <v>8000</v>
      </c>
      <c r="E37" s="11"/>
      <c r="F37" s="10">
        <f>Saldobalance!D35</f>
        <v>4567.95</v>
      </c>
      <c r="G37" s="11"/>
      <c r="H37" s="11"/>
      <c r="I37" s="4"/>
      <c r="J37" s="99">
        <v>5000</v>
      </c>
      <c r="K37" s="11"/>
      <c r="L37" s="11"/>
      <c r="M37" s="4" t="s">
        <v>326</v>
      </c>
    </row>
    <row r="38" spans="1:13" x14ac:dyDescent="0.25">
      <c r="A38" s="10" t="str">
        <f>Saldobalance!B36</f>
        <v>Fester/kultur</v>
      </c>
      <c r="B38" s="10">
        <v>1809.7</v>
      </c>
      <c r="C38" s="11"/>
      <c r="D38" s="10">
        <f>Saldobalance!C36</f>
        <v>6000</v>
      </c>
      <c r="E38" s="11"/>
      <c r="F38" s="10">
        <f>Saldobalance!D36</f>
        <v>6388.37</v>
      </c>
      <c r="G38" s="11"/>
      <c r="H38" s="11"/>
      <c r="I38" s="4"/>
      <c r="J38" s="99">
        <v>6000</v>
      </c>
      <c r="K38" s="11"/>
      <c r="L38" s="11"/>
      <c r="M38" s="4"/>
    </row>
    <row r="39" spans="1:13" x14ac:dyDescent="0.25">
      <c r="A39" s="10" t="str">
        <f>Saldobalance!B37</f>
        <v>Fortæring arbejdsweekends</v>
      </c>
      <c r="B39" s="10">
        <v>10529.97</v>
      </c>
      <c r="C39" s="11"/>
      <c r="D39" s="10">
        <f>Saldobalance!C37</f>
        <v>10000</v>
      </c>
      <c r="E39" s="11"/>
      <c r="F39" s="10">
        <f>Saldobalance!D37</f>
        <v>11938.35</v>
      </c>
      <c r="G39" s="11"/>
      <c r="H39" s="11"/>
      <c r="I39" s="4"/>
      <c r="J39" s="99">
        <v>18000</v>
      </c>
      <c r="K39" s="11"/>
      <c r="L39" s="11"/>
      <c r="M39" s="4" t="s">
        <v>330</v>
      </c>
    </row>
    <row r="40" spans="1:13" x14ac:dyDescent="0.25">
      <c r="A40" s="10" t="str">
        <f>Saldobalance!B38</f>
        <v>Fortæring generalforsamling</v>
      </c>
      <c r="B40" s="10">
        <v>1518.45</v>
      </c>
      <c r="C40" s="11"/>
      <c r="D40" s="10">
        <f>Saldobalance!C38</f>
        <v>2000</v>
      </c>
      <c r="E40" s="11"/>
      <c r="F40" s="10">
        <f>Saldobalance!D38</f>
        <v>1535.9</v>
      </c>
      <c r="G40" s="11"/>
      <c r="H40" s="11"/>
      <c r="I40" s="4"/>
      <c r="J40" s="99">
        <v>2000</v>
      </c>
      <c r="K40" s="11"/>
      <c r="L40" s="11"/>
      <c r="M40" s="4"/>
    </row>
    <row r="41" spans="1:13" x14ac:dyDescent="0.25">
      <c r="A41" s="10" t="str">
        <f>Saldobalance!B39</f>
        <v>Adventsarrangementer</v>
      </c>
      <c r="B41" s="10">
        <v>3495.62</v>
      </c>
      <c r="C41" s="11"/>
      <c r="D41" s="10">
        <f>Saldobalance!C39</f>
        <v>4000</v>
      </c>
      <c r="E41" s="11"/>
      <c r="F41" s="10">
        <f>Saldobalance!D39</f>
        <v>3417.85</v>
      </c>
      <c r="G41" s="11"/>
      <c r="H41" s="11"/>
      <c r="I41" s="4"/>
      <c r="J41" s="99">
        <v>4000</v>
      </c>
      <c r="K41" s="11"/>
      <c r="L41" s="11"/>
      <c r="M41" s="4"/>
    </row>
    <row r="42" spans="1:13" x14ac:dyDescent="0.25">
      <c r="A42" s="10" t="str">
        <f>Saldobalance!B40</f>
        <v>Fastelavn</v>
      </c>
      <c r="B42" s="10">
        <v>1939.9</v>
      </c>
      <c r="C42" s="11"/>
      <c r="D42" s="10">
        <f>Saldobalance!C40</f>
        <v>2000</v>
      </c>
      <c r="E42" s="11"/>
      <c r="F42" s="10">
        <f>Saldobalance!D40</f>
        <v>1515.37</v>
      </c>
      <c r="G42" s="11"/>
      <c r="H42" s="11"/>
      <c r="I42" s="4"/>
      <c r="J42" s="99">
        <v>2000</v>
      </c>
      <c r="K42" s="11"/>
      <c r="L42" s="11"/>
      <c r="M42" s="4"/>
    </row>
    <row r="43" spans="1:13" x14ac:dyDescent="0.25">
      <c r="A43" s="10" t="str">
        <f>Saldobalance!B41</f>
        <v>Cafemøder</v>
      </c>
      <c r="B43" s="10">
        <v>0</v>
      </c>
      <c r="C43" s="11"/>
      <c r="D43" s="10">
        <f>Saldobalance!C41</f>
        <v>1000</v>
      </c>
      <c r="E43" s="11"/>
      <c r="F43" s="10">
        <f>Saldobalance!D41</f>
        <v>0</v>
      </c>
      <c r="G43" s="11"/>
      <c r="H43" s="11"/>
      <c r="I43" s="4"/>
      <c r="J43" s="99">
        <v>2000</v>
      </c>
      <c r="K43" s="11"/>
      <c r="L43" s="11"/>
      <c r="M43" s="4" t="s">
        <v>339</v>
      </c>
    </row>
    <row r="44" spans="1:13" x14ac:dyDescent="0.25">
      <c r="A44" s="10" t="str">
        <f>Saldobalance!B42</f>
        <v>Bakkeweekend</v>
      </c>
      <c r="B44" s="10">
        <v>20755.95</v>
      </c>
      <c r="C44" s="11"/>
      <c r="D44" s="10">
        <f>Saldobalance!C42</f>
        <v>20000</v>
      </c>
      <c r="E44" s="11"/>
      <c r="F44" s="10">
        <f>Saldobalance!D42</f>
        <v>14720.75</v>
      </c>
      <c r="G44" s="11"/>
      <c r="H44" s="11"/>
      <c r="I44" s="4"/>
      <c r="J44" s="99">
        <v>20000</v>
      </c>
      <c r="K44" s="11"/>
      <c r="L44" s="11"/>
      <c r="M44" s="4"/>
    </row>
    <row r="45" spans="1:13" x14ac:dyDescent="0.25">
      <c r="A45" s="10" t="str">
        <f>Saldobalance!B43</f>
        <v>Skt. Hans</v>
      </c>
      <c r="B45" s="10">
        <v>600</v>
      </c>
      <c r="C45" s="11"/>
      <c r="D45" s="10">
        <f>Saldobalance!C43</f>
        <v>1000</v>
      </c>
      <c r="E45" s="11"/>
      <c r="F45" s="10">
        <f>Saldobalance!D43</f>
        <v>1679.4</v>
      </c>
      <c r="G45" s="11"/>
      <c r="H45" s="11"/>
      <c r="I45" s="4"/>
      <c r="J45" s="99">
        <v>1000</v>
      </c>
      <c r="K45" s="11"/>
      <c r="L45" s="11"/>
      <c r="M45" s="4"/>
    </row>
    <row r="46" spans="1:13" x14ac:dyDescent="0.25">
      <c r="A46" s="34"/>
      <c r="B46" s="34"/>
      <c r="C46" s="36"/>
      <c r="D46" s="34"/>
      <c r="E46" s="36"/>
      <c r="F46" s="34"/>
      <c r="G46" s="36"/>
      <c r="H46" s="36"/>
      <c r="I46" s="4"/>
      <c r="J46" s="34"/>
      <c r="K46" s="36"/>
      <c r="L46" s="36"/>
      <c r="M46" s="4"/>
    </row>
    <row r="47" spans="1:13" ht="13" x14ac:dyDescent="0.3">
      <c r="A47" s="35" t="str">
        <f>Saldobalance!B47</f>
        <v>Informationsteknologi</v>
      </c>
      <c r="B47" s="13"/>
      <c r="C47" s="2">
        <v>9965.85</v>
      </c>
      <c r="D47" s="13"/>
      <c r="E47" s="2">
        <f>Saldobalance!C52</f>
        <v>10500</v>
      </c>
      <c r="F47" s="13"/>
      <c r="G47" s="2">
        <f>Saldobalance!D52</f>
        <v>9681.76</v>
      </c>
      <c r="H47" s="9">
        <f>(G47-E47)/E47*100</f>
        <v>-7.7927619047619023</v>
      </c>
      <c r="I47" s="4"/>
      <c r="J47" s="13"/>
      <c r="K47" s="98">
        <f>SUM(J48:J51)</f>
        <v>11000</v>
      </c>
      <c r="L47" s="9">
        <f>(K47-E47)/E47*100</f>
        <v>4.7619047619047619</v>
      </c>
      <c r="M47" s="4"/>
    </row>
    <row r="48" spans="1:13" x14ac:dyDescent="0.25">
      <c r="A48" s="10" t="str">
        <f>Saldobalance!B48</f>
        <v>Telefon / bredbånd</v>
      </c>
      <c r="B48" s="10">
        <v>3767.79</v>
      </c>
      <c r="C48" s="11"/>
      <c r="D48" s="10">
        <f>Saldobalance!C48</f>
        <v>4000</v>
      </c>
      <c r="E48" s="11"/>
      <c r="F48" s="10">
        <f>Saldobalance!D48</f>
        <v>3395.44</v>
      </c>
      <c r="G48" s="11"/>
      <c r="H48" s="11"/>
      <c r="I48" s="4"/>
      <c r="J48" s="99">
        <v>4000</v>
      </c>
      <c r="K48" s="11"/>
      <c r="L48" s="11"/>
      <c r="M48" s="4"/>
    </row>
    <row r="49" spans="1:14" x14ac:dyDescent="0.25">
      <c r="A49" s="10" t="str">
        <f>Saldobalance!B49</f>
        <v>TV + licens</v>
      </c>
      <c r="B49" s="10">
        <v>5034.0600000000004</v>
      </c>
      <c r="C49" s="11"/>
      <c r="D49" s="10">
        <f>Saldobalance!C49</f>
        <v>5000</v>
      </c>
      <c r="E49" s="11"/>
      <c r="F49" s="10">
        <f>Saldobalance!D49</f>
        <v>5122.32</v>
      </c>
      <c r="G49" s="11"/>
      <c r="H49" s="11"/>
      <c r="I49" s="4"/>
      <c r="J49" s="99">
        <v>5500</v>
      </c>
      <c r="K49" s="11"/>
      <c r="L49" s="11"/>
      <c r="M49" s="4"/>
    </row>
    <row r="50" spans="1:14" x14ac:dyDescent="0.25">
      <c r="A50" s="10" t="str">
        <f>Saldobalance!B50</f>
        <v>Hjemmeside/e-mail</v>
      </c>
      <c r="B50" s="10">
        <v>525</v>
      </c>
      <c r="C50" s="11"/>
      <c r="D50" s="10">
        <f>Saldobalance!C50</f>
        <v>500</v>
      </c>
      <c r="E50" s="11"/>
      <c r="F50" s="10">
        <f>Saldobalance!D50</f>
        <v>525</v>
      </c>
      <c r="G50" s="11"/>
      <c r="H50" s="11"/>
      <c r="I50" s="4"/>
      <c r="J50" s="142">
        <v>500</v>
      </c>
      <c r="K50" s="11"/>
      <c r="L50" s="11"/>
      <c r="M50" s="4"/>
    </row>
    <row r="51" spans="1:14" x14ac:dyDescent="0.25">
      <c r="A51" s="10" t="str">
        <f>Saldobalance!B51</f>
        <v>Tidsskrifter</v>
      </c>
      <c r="B51" s="10">
        <v>639</v>
      </c>
      <c r="C51" s="11"/>
      <c r="D51" s="10">
        <f>Saldobalance!C51</f>
        <v>1000</v>
      </c>
      <c r="E51" s="11"/>
      <c r="F51" s="10">
        <f>Saldobalance!D51</f>
        <v>639</v>
      </c>
      <c r="G51" s="11"/>
      <c r="H51" s="11"/>
      <c r="I51" s="4"/>
      <c r="J51" s="99">
        <v>1000</v>
      </c>
      <c r="K51" s="11"/>
      <c r="L51" s="11"/>
      <c r="M51" s="4"/>
    </row>
    <row r="52" spans="1:14" x14ac:dyDescent="0.25">
      <c r="A52" s="34"/>
      <c r="B52" s="34"/>
      <c r="C52" s="36"/>
      <c r="D52" s="34"/>
      <c r="E52" s="36"/>
      <c r="F52" s="34"/>
      <c r="G52" s="36"/>
      <c r="H52" s="36"/>
      <c r="I52" s="4"/>
      <c r="J52" s="34"/>
      <c r="K52" s="36"/>
      <c r="L52" s="36"/>
      <c r="M52" s="4"/>
    </row>
    <row r="53" spans="1:14" ht="13" x14ac:dyDescent="0.3">
      <c r="A53" s="35" t="str">
        <f>Saldobalance!B54</f>
        <v>5-årsplan</v>
      </c>
      <c r="B53" s="13"/>
      <c r="C53" s="5">
        <v>40000</v>
      </c>
      <c r="D53" s="13"/>
      <c r="E53" s="2">
        <f>Saldobalance!C68</f>
        <v>40000</v>
      </c>
      <c r="F53" s="13"/>
      <c r="G53" s="2">
        <f>Saldobalance!D68</f>
        <v>40000</v>
      </c>
      <c r="H53" s="9">
        <f>(G53-E53)/E53*100</f>
        <v>0</v>
      </c>
      <c r="I53" s="4"/>
      <c r="J53" s="13"/>
      <c r="K53" s="98">
        <v>40000</v>
      </c>
      <c r="L53" s="9">
        <f>(K53-E53)/E53*100</f>
        <v>0</v>
      </c>
      <c r="M53" s="4" t="s">
        <v>341</v>
      </c>
    </row>
    <row r="54" spans="1:14" x14ac:dyDescent="0.25">
      <c r="A54" s="10" t="str">
        <f>Saldobalance!B55</f>
        <v>Asfalt</v>
      </c>
      <c r="B54" s="10">
        <v>0</v>
      </c>
      <c r="C54" s="11"/>
      <c r="D54" s="10">
        <f>Saldobalance!C55</f>
        <v>200000</v>
      </c>
      <c r="E54" s="11"/>
      <c r="F54" s="10">
        <f>Saldobalance!D55</f>
        <v>0</v>
      </c>
      <c r="G54" s="11"/>
      <c r="H54" s="11"/>
      <c r="I54" s="4"/>
      <c r="J54" s="99">
        <v>200000</v>
      </c>
      <c r="K54" s="11"/>
      <c r="L54" s="11"/>
      <c r="M54" s="4"/>
    </row>
    <row r="55" spans="1:14" x14ac:dyDescent="0.25">
      <c r="A55" s="10" t="str">
        <f>Saldobalance!B56</f>
        <v>Salg af Gården</v>
      </c>
      <c r="B55" s="10">
        <v>18945.849999999999</v>
      </c>
      <c r="C55" s="11"/>
      <c r="D55" s="10">
        <f>Saldobalance!C56</f>
        <v>70000</v>
      </c>
      <c r="E55" s="11"/>
      <c r="F55" s="10">
        <f>Saldobalance!D56</f>
        <v>152109.57999999999</v>
      </c>
      <c r="G55" s="11"/>
      <c r="H55" s="11"/>
      <c r="I55" s="4"/>
      <c r="J55" s="99">
        <v>70000</v>
      </c>
      <c r="K55" s="11"/>
      <c r="L55" s="11"/>
      <c r="M55" s="4"/>
    </row>
    <row r="56" spans="1:14" x14ac:dyDescent="0.25">
      <c r="A56" s="10" t="str">
        <f>Saldobalance!B57</f>
        <v>Kolbøtten</v>
      </c>
      <c r="B56" s="10">
        <v>3207.63</v>
      </c>
      <c r="C56" s="11"/>
      <c r="D56" s="10">
        <f>Saldobalance!C57</f>
        <v>0</v>
      </c>
      <c r="E56" s="11"/>
      <c r="F56" s="10">
        <f>Saldobalance!D57</f>
        <v>785</v>
      </c>
      <c r="G56" s="11"/>
      <c r="H56" s="11"/>
      <c r="I56" s="4"/>
      <c r="J56" s="99">
        <v>0</v>
      </c>
      <c r="K56" s="11"/>
      <c r="L56" s="11"/>
      <c r="M56" s="4"/>
    </row>
    <row r="57" spans="1:14" x14ac:dyDescent="0.25">
      <c r="A57" s="10" t="str">
        <f>Saldobalance!B58</f>
        <v>Fælleshustorvet</v>
      </c>
      <c r="B57" s="10">
        <v>8628.7199999999993</v>
      </c>
      <c r="C57" s="11"/>
      <c r="D57" s="10">
        <f>Saldobalance!C58</f>
        <v>130000</v>
      </c>
      <c r="E57" s="11"/>
      <c r="F57" s="10">
        <f>Saldobalance!D58</f>
        <v>48714.86</v>
      </c>
      <c r="G57" s="11"/>
      <c r="H57" s="11"/>
      <c r="I57" s="4"/>
      <c r="J57" s="99">
        <v>130000</v>
      </c>
      <c r="K57" s="11"/>
      <c r="L57" s="11"/>
      <c r="M57" s="4"/>
      <c r="N57" s="90"/>
    </row>
    <row r="58" spans="1:14" x14ac:dyDescent="0.25">
      <c r="A58" s="10" t="str">
        <f>Saldobalance!B59</f>
        <v>Svællemuren</v>
      </c>
      <c r="B58" s="10">
        <v>0</v>
      </c>
      <c r="C58" s="11"/>
      <c r="D58" s="10">
        <f>Saldobalance!C59</f>
        <v>205000</v>
      </c>
      <c r="E58" s="11"/>
      <c r="F58" s="10">
        <f>Saldobalance!D59</f>
        <v>34665.980000000003</v>
      </c>
      <c r="G58" s="11"/>
      <c r="H58" s="11"/>
      <c r="I58" s="4"/>
      <c r="J58" s="99">
        <v>205000</v>
      </c>
      <c r="K58" s="11"/>
      <c r="L58" s="11"/>
      <c r="M58" s="4"/>
    </row>
    <row r="59" spans="1:14" x14ac:dyDescent="0.25">
      <c r="A59" s="10" t="str">
        <f>Saldobalance!B60</f>
        <v>Fælleshusfornyelsen</v>
      </c>
      <c r="B59" s="10">
        <v>596</v>
      </c>
      <c r="C59" s="11"/>
      <c r="D59" s="10">
        <f>Saldobalance!C60</f>
        <v>0</v>
      </c>
      <c r="E59" s="11"/>
      <c r="F59" s="10">
        <f>Saldobalance!D60</f>
        <v>0</v>
      </c>
      <c r="G59" s="11"/>
      <c r="H59" s="11"/>
      <c r="I59" s="4"/>
      <c r="J59" s="99">
        <v>0</v>
      </c>
      <c r="K59" s="11"/>
      <c r="L59" s="11"/>
      <c r="M59" s="4"/>
    </row>
    <row r="60" spans="1:14" x14ac:dyDescent="0.25">
      <c r="A60" s="10" t="str">
        <f>Saldobalance!B61</f>
        <v>Energnisterne</v>
      </c>
      <c r="B60" s="10">
        <v>0</v>
      </c>
      <c r="C60" s="11"/>
      <c r="D60" s="10">
        <f>Saldobalance!C61</f>
        <v>10000</v>
      </c>
      <c r="E60" s="11"/>
      <c r="F60" s="10">
        <f>Saldobalance!D61</f>
        <v>10701</v>
      </c>
      <c r="G60" s="11"/>
      <c r="H60" s="11"/>
      <c r="I60" s="4"/>
      <c r="J60" s="99">
        <v>10000</v>
      </c>
      <c r="K60" s="11"/>
      <c r="L60" s="11"/>
      <c r="M60" s="4"/>
    </row>
    <row r="61" spans="1:14" x14ac:dyDescent="0.25">
      <c r="A61" s="10" t="str">
        <f>Saldobalance!B64</f>
        <v>Planlagt Vedligehold</v>
      </c>
      <c r="B61" s="10">
        <v>46250</v>
      </c>
      <c r="C61" s="11"/>
      <c r="D61" s="10">
        <f>Saldobalance!C64</f>
        <v>0</v>
      </c>
      <c r="E61" s="11"/>
      <c r="F61" s="10">
        <f>Saldobalance!D64</f>
        <v>0</v>
      </c>
      <c r="G61" s="11"/>
      <c r="H61" s="11"/>
      <c r="I61" s="4"/>
      <c r="J61" s="99">
        <v>0</v>
      </c>
      <c r="K61" s="11"/>
      <c r="L61" s="11"/>
      <c r="M61" s="4"/>
    </row>
    <row r="62" spans="1:14" x14ac:dyDescent="0.25">
      <c r="A62" s="10" t="str">
        <f>Saldobalance!B65</f>
        <v>Planlagte Nyanskaffelser</v>
      </c>
      <c r="B62" s="10">
        <v>0</v>
      </c>
      <c r="C62" s="11"/>
      <c r="D62" s="10">
        <f>Saldobalance!C65</f>
        <v>0</v>
      </c>
      <c r="E62" s="11"/>
      <c r="F62" s="10">
        <f>Saldobalance!D65</f>
        <v>0</v>
      </c>
      <c r="G62" s="11"/>
      <c r="H62" s="11"/>
      <c r="I62" s="4"/>
      <c r="J62" s="99">
        <v>0</v>
      </c>
      <c r="K62" s="11"/>
      <c r="L62" s="11"/>
      <c r="M62" s="4"/>
    </row>
    <row r="63" spans="1:14" x14ac:dyDescent="0.25">
      <c r="A63" s="10" t="str">
        <f>Saldobalance!B66</f>
        <v>Ikke-planlagte projekter</v>
      </c>
      <c r="B63" s="10">
        <v>0</v>
      </c>
      <c r="C63" s="11"/>
      <c r="D63" s="10">
        <f>Saldobalance!C66</f>
        <v>40000</v>
      </c>
      <c r="E63" s="11"/>
      <c r="F63" s="10">
        <f>Saldobalance!D66</f>
        <v>0</v>
      </c>
      <c r="G63" s="11"/>
      <c r="H63" s="11"/>
      <c r="I63" s="4"/>
      <c r="J63" s="99">
        <v>40000</v>
      </c>
      <c r="K63" s="11"/>
      <c r="L63" s="11"/>
      <c r="M63" s="4"/>
    </row>
    <row r="64" spans="1:14" x14ac:dyDescent="0.25">
      <c r="A64" s="10" t="str">
        <f>Saldobalance!B67</f>
        <v>Overført fra opsparingen</v>
      </c>
      <c r="B64" s="10">
        <v>-37628.199999999997</v>
      </c>
      <c r="C64" s="11"/>
      <c r="D64" s="10">
        <f>Saldobalance!C67</f>
        <v>-615000</v>
      </c>
      <c r="E64" s="11"/>
      <c r="F64" s="10">
        <f>Saldobalance!D67</f>
        <v>-206976.42</v>
      </c>
      <c r="G64" s="11"/>
      <c r="H64" s="11"/>
      <c r="I64" s="4"/>
      <c r="J64" s="136">
        <f>K53-SUM(J54:J63)</f>
        <v>-615000</v>
      </c>
      <c r="K64" s="11"/>
      <c r="L64" s="11"/>
      <c r="M64" s="4"/>
    </row>
    <row r="65" spans="1:13" x14ac:dyDescent="0.25">
      <c r="A65" s="19"/>
      <c r="B65" s="13"/>
      <c r="C65" s="5"/>
      <c r="D65" s="13"/>
      <c r="E65" s="2"/>
      <c r="F65" s="13"/>
      <c r="G65" s="2"/>
      <c r="H65" s="2"/>
      <c r="I65" s="4"/>
      <c r="J65" s="13"/>
      <c r="K65" s="2"/>
      <c r="L65" s="2"/>
      <c r="M65" s="4"/>
    </row>
    <row r="66" spans="1:13" ht="13" x14ac:dyDescent="0.3">
      <c r="A66" s="35" t="str">
        <f>Saldobalance!B69</f>
        <v>Genanskaffelser</v>
      </c>
      <c r="B66" s="13"/>
      <c r="C66" s="5">
        <v>0</v>
      </c>
      <c r="D66" s="13"/>
      <c r="E66" s="2">
        <f>Saldobalance!C69</f>
        <v>0</v>
      </c>
      <c r="F66" s="13"/>
      <c r="G66" s="2">
        <f>Saldobalance!D69</f>
        <v>0</v>
      </c>
      <c r="H66" s="88" t="str">
        <f>IF(E66=0, "--",(G66-E66)/E66*100)</f>
        <v>--</v>
      </c>
      <c r="I66" s="4"/>
      <c r="J66" s="13"/>
      <c r="K66" s="101">
        <v>38200</v>
      </c>
      <c r="L66" s="88" t="str">
        <f>IF(E66=0,"--",(K66-E66)/E66*100)</f>
        <v>--</v>
      </c>
      <c r="M66" s="4" t="s">
        <v>349</v>
      </c>
    </row>
    <row r="67" spans="1:13" ht="13" x14ac:dyDescent="0.3">
      <c r="A67" s="35"/>
      <c r="B67" s="13"/>
      <c r="C67" s="5"/>
      <c r="D67" s="13"/>
      <c r="E67" s="2"/>
      <c r="F67" s="13"/>
      <c r="G67" s="2"/>
      <c r="H67" s="9"/>
      <c r="I67" s="4"/>
      <c r="J67" s="13"/>
      <c r="K67" s="101"/>
      <c r="L67" s="9"/>
      <c r="M67" s="4"/>
    </row>
    <row r="68" spans="1:13" ht="13" x14ac:dyDescent="0.3">
      <c r="A68" s="35" t="str">
        <f>Saldobalance!B70</f>
        <v>Nyanskaffelser</v>
      </c>
      <c r="B68" s="13"/>
      <c r="C68" s="5">
        <v>2063.9</v>
      </c>
      <c r="D68" s="13"/>
      <c r="E68" s="2">
        <f>Saldobalance!C70</f>
        <v>35000</v>
      </c>
      <c r="F68" s="13"/>
      <c r="G68" s="2">
        <f>Saldobalance!D70</f>
        <v>27323</v>
      </c>
      <c r="H68" s="9">
        <f>(G68-E68)/E68*100</f>
        <v>-21.934285714285714</v>
      </c>
      <c r="I68" s="4">
        <v>5</v>
      </c>
      <c r="J68" s="13"/>
      <c r="K68" s="101">
        <v>5000</v>
      </c>
      <c r="L68" s="9">
        <f>(K68-E68)/E68*100</f>
        <v>-85.714285714285708</v>
      </c>
      <c r="M68" s="4" t="s">
        <v>350</v>
      </c>
    </row>
    <row r="69" spans="1:13" ht="13" x14ac:dyDescent="0.3">
      <c r="A69" s="35"/>
      <c r="B69" s="13"/>
      <c r="C69" s="5"/>
      <c r="D69" s="13"/>
      <c r="E69" s="2"/>
      <c r="F69" s="13"/>
      <c r="G69" s="2"/>
      <c r="H69" s="9"/>
      <c r="I69" s="4"/>
      <c r="J69" s="13"/>
      <c r="K69" s="2"/>
      <c r="L69" s="9"/>
      <c r="M69" s="4"/>
    </row>
    <row r="70" spans="1:13" ht="13" x14ac:dyDescent="0.3">
      <c r="A70" s="35" t="str">
        <f>Saldobalance!B71</f>
        <v>Markedsføring</v>
      </c>
      <c r="B70" s="13"/>
      <c r="C70" s="5">
        <v>568.4</v>
      </c>
      <c r="D70" s="13"/>
      <c r="E70" s="2">
        <f>Saldobalance!C71</f>
        <v>1000</v>
      </c>
      <c r="F70" s="13"/>
      <c r="G70" s="2">
        <f>Saldobalance!D71</f>
        <v>0</v>
      </c>
      <c r="H70" s="9">
        <f>(G70-E70)/E70*100</f>
        <v>-100</v>
      </c>
      <c r="I70" s="4"/>
      <c r="J70" s="13"/>
      <c r="K70" s="101">
        <v>1000</v>
      </c>
      <c r="L70" s="9">
        <f>(K70-E70)/E70*100</f>
        <v>0</v>
      </c>
      <c r="M70" s="4"/>
    </row>
    <row r="71" spans="1:13" ht="13" x14ac:dyDescent="0.3">
      <c r="A71" s="35"/>
      <c r="B71" s="13"/>
      <c r="C71" s="5"/>
      <c r="D71" s="13"/>
      <c r="E71" s="2"/>
      <c r="F71" s="13"/>
      <c r="G71" s="2"/>
      <c r="H71" s="9"/>
      <c r="I71" s="4"/>
      <c r="J71" s="13"/>
      <c r="K71" s="2"/>
      <c r="L71" s="9"/>
      <c r="M71" s="4"/>
    </row>
    <row r="72" spans="1:13" ht="13" x14ac:dyDescent="0.3">
      <c r="A72" s="35" t="str">
        <f>Saldobalance!B73</f>
        <v>Får</v>
      </c>
      <c r="B72" s="13"/>
      <c r="C72" s="5">
        <v>4151.9700000000012</v>
      </c>
      <c r="D72" s="13"/>
      <c r="E72" s="2">
        <f>Saldobalance!C80</f>
        <v>7000</v>
      </c>
      <c r="F72" s="13"/>
      <c r="G72" s="2">
        <f>Saldobalance!D80</f>
        <v>4044.86</v>
      </c>
      <c r="H72" s="9">
        <f>(G72-E72)/E72*100</f>
        <v>-42.216285714285711</v>
      </c>
      <c r="I72" s="4">
        <v>6</v>
      </c>
      <c r="J72" s="13"/>
      <c r="K72" s="98">
        <f>K73+K74+SUM(J75:J78)</f>
        <v>6500</v>
      </c>
      <c r="L72" s="9">
        <f>(K72-E72)/E72*100</f>
        <v>-7.1428571428571423</v>
      </c>
      <c r="M72" s="4"/>
    </row>
    <row r="73" spans="1:13" x14ac:dyDescent="0.25">
      <c r="A73" s="10" t="str">
        <f>Saldobalance!B74</f>
        <v>Øvrige Fåreindtægter</v>
      </c>
      <c r="B73" s="10"/>
      <c r="C73" s="82">
        <v>-1615</v>
      </c>
      <c r="D73" s="83"/>
      <c r="E73" s="84">
        <f>Saldobalance!C74</f>
        <v>-1500</v>
      </c>
      <c r="F73" s="10"/>
      <c r="G73" s="84">
        <f>Saldobalance!D74</f>
        <v>-1064</v>
      </c>
      <c r="H73" s="11"/>
      <c r="I73" s="4"/>
      <c r="J73" s="10"/>
      <c r="K73" s="102">
        <v>-1500</v>
      </c>
      <c r="L73" s="11"/>
      <c r="M73" s="4"/>
    </row>
    <row r="74" spans="1:13" x14ac:dyDescent="0.25">
      <c r="A74" s="10" t="str">
        <f>Saldobalance!B75</f>
        <v>Salg af fåreprodukter (Brutto)</v>
      </c>
      <c r="B74" s="10"/>
      <c r="C74" s="82">
        <v>-24181.61</v>
      </c>
      <c r="D74" s="83"/>
      <c r="E74" s="84">
        <f>Saldobalance!C75</f>
        <v>-20000</v>
      </c>
      <c r="F74" s="10"/>
      <c r="G74" s="84">
        <f>Saldobalance!D75</f>
        <v>-21197.49</v>
      </c>
      <c r="H74" s="11"/>
      <c r="I74" s="4"/>
      <c r="J74" s="10"/>
      <c r="K74" s="102">
        <v>-20000</v>
      </c>
      <c r="L74" s="11"/>
      <c r="M74" s="4"/>
    </row>
    <row r="75" spans="1:13" x14ac:dyDescent="0.25">
      <c r="A75" s="10" t="str">
        <f>Saldobalance!B76</f>
        <v>Rabat på fåreprodukter</v>
      </c>
      <c r="B75" s="10">
        <v>1636.31</v>
      </c>
      <c r="C75" s="82"/>
      <c r="D75" s="83">
        <f>Saldobalance!C76</f>
        <v>2000</v>
      </c>
      <c r="E75" s="84"/>
      <c r="F75" s="10">
        <f>Saldobalance!D76</f>
        <v>1578.66</v>
      </c>
      <c r="G75" s="84"/>
      <c r="H75" s="11"/>
      <c r="I75" s="4"/>
      <c r="J75" s="10">
        <v>2000</v>
      </c>
      <c r="K75" s="102"/>
      <c r="L75" s="11"/>
      <c r="M75" s="4"/>
    </row>
    <row r="76" spans="1:13" x14ac:dyDescent="0.25">
      <c r="A76" s="10" t="str">
        <f>Saldobalance!B77</f>
        <v>Løbende udgifter/får</v>
      </c>
      <c r="B76" s="10">
        <v>24142.59</v>
      </c>
      <c r="C76" s="11"/>
      <c r="D76" s="10">
        <f>Saldobalance!C77</f>
        <v>20000</v>
      </c>
      <c r="E76" s="11"/>
      <c r="F76" s="10">
        <f>Saldobalance!D77</f>
        <v>18139.830000000002</v>
      </c>
      <c r="G76" s="11"/>
      <c r="H76" s="11"/>
      <c r="I76" s="4"/>
      <c r="J76" s="99">
        <v>22000</v>
      </c>
      <c r="K76" s="11"/>
      <c r="L76" s="11"/>
      <c r="M76" s="4"/>
    </row>
    <row r="77" spans="1:13" x14ac:dyDescent="0.25">
      <c r="A77" s="10" t="str">
        <f>Saldobalance!B78</f>
        <v>Engangsudgifter/får</v>
      </c>
      <c r="B77" s="10">
        <v>3058.03</v>
      </c>
      <c r="C77" s="11"/>
      <c r="D77" s="10">
        <f>Saldobalance!C78</f>
        <v>5500</v>
      </c>
      <c r="E77" s="11"/>
      <c r="F77" s="10">
        <f>Saldobalance!D78</f>
        <v>3099.38</v>
      </c>
      <c r="G77" s="11"/>
      <c r="H77" s="11"/>
      <c r="I77" s="4"/>
      <c r="J77" s="99">
        <v>3000</v>
      </c>
      <c r="K77" s="11"/>
      <c r="L77" s="11"/>
      <c r="M77" s="4"/>
    </row>
    <row r="78" spans="1:13" x14ac:dyDescent="0.25">
      <c r="A78" s="10" t="str">
        <f>Saldobalance!B79</f>
        <v>Årets udvikling/får</v>
      </c>
      <c r="B78" s="10">
        <v>1111.6500000000001</v>
      </c>
      <c r="C78" s="11"/>
      <c r="D78" s="10">
        <f>Saldobalance!C79</f>
        <v>1000</v>
      </c>
      <c r="E78" s="11"/>
      <c r="F78" s="10">
        <f>Saldobalance!D79</f>
        <v>3488.48</v>
      </c>
      <c r="G78" s="11"/>
      <c r="H78" s="11"/>
      <c r="I78" s="4"/>
      <c r="J78" s="99">
        <v>1000</v>
      </c>
      <c r="K78" s="11"/>
      <c r="L78" s="11"/>
      <c r="M78" s="4"/>
    </row>
    <row r="79" spans="1:13" ht="13" x14ac:dyDescent="0.3">
      <c r="A79" s="35"/>
      <c r="B79" s="13"/>
      <c r="C79" s="36"/>
      <c r="D79" s="13"/>
      <c r="E79" s="36"/>
      <c r="F79" s="13"/>
      <c r="G79" s="36"/>
      <c r="H79" s="36"/>
      <c r="I79" s="4"/>
      <c r="J79" s="13"/>
      <c r="K79" s="6"/>
      <c r="L79" s="36"/>
      <c r="M79" s="4"/>
    </row>
    <row r="80" spans="1:13" ht="13" x14ac:dyDescent="0.3">
      <c r="A80" s="35" t="str">
        <f>Saldobalance!B82</f>
        <v>Gården</v>
      </c>
      <c r="B80" s="13"/>
      <c r="C80" s="5">
        <v>-7260.239999999998</v>
      </c>
      <c r="D80" s="13"/>
      <c r="E80" s="2">
        <f>Saldobalance!C93</f>
        <v>13847.830000000002</v>
      </c>
      <c r="F80" s="13"/>
      <c r="G80" s="2">
        <f>Saldobalance!D93</f>
        <v>44784.650000000009</v>
      </c>
      <c r="H80" s="9">
        <f>(G80-E80)/E80*100</f>
        <v>223.40554440659659</v>
      </c>
      <c r="I80" s="4"/>
      <c r="J80" s="13"/>
      <c r="K80" s="98">
        <f>K81+K82+SUM(J83:J89)</f>
        <v>8188.6216666666733</v>
      </c>
      <c r="L80" s="9">
        <f>(K80-E80)/E80*100</f>
        <v>-40.86711299411769</v>
      </c>
      <c r="M80" s="4"/>
    </row>
    <row r="81" spans="1:14" x14ac:dyDescent="0.25">
      <c r="A81" s="10" t="str">
        <f>Saldobalance!B83</f>
        <v>Huslejeopkrævet</v>
      </c>
      <c r="B81" s="83"/>
      <c r="C81" s="93">
        <v>-129340</v>
      </c>
      <c r="D81" s="83"/>
      <c r="E81" s="84">
        <f>Saldobalance!C83</f>
        <v>-135360</v>
      </c>
      <c r="F81" s="83"/>
      <c r="G81" s="84">
        <f>Saldobalance!D83</f>
        <v>-135360</v>
      </c>
      <c r="H81" s="11"/>
      <c r="I81" s="4"/>
      <c r="J81" s="83"/>
      <c r="K81" s="102">
        <f>-(12040*3/2+10520*8/2)</f>
        <v>-60140</v>
      </c>
      <c r="L81" s="11"/>
      <c r="M81" s="4"/>
    </row>
    <row r="82" spans="1:14" x14ac:dyDescent="0.25">
      <c r="A82" s="10" t="str">
        <f>Saldobalance!B85</f>
        <v>EL opkrævet</v>
      </c>
      <c r="B82" s="83"/>
      <c r="C82" s="84">
        <v>-9127.5</v>
      </c>
      <c r="D82" s="83"/>
      <c r="E82" s="84">
        <f>Saldobalance!C85</f>
        <v>-8000</v>
      </c>
      <c r="F82" s="83"/>
      <c r="G82" s="84">
        <f>Saldobalance!D85</f>
        <v>-9405</v>
      </c>
      <c r="H82" s="11"/>
      <c r="I82" s="4"/>
      <c r="J82" s="10"/>
      <c r="K82" s="151">
        <f>-J83</f>
        <v>-4000</v>
      </c>
      <c r="L82" s="11"/>
      <c r="M82" s="4"/>
    </row>
    <row r="83" spans="1:14" x14ac:dyDescent="0.25">
      <c r="A83" s="10" t="str">
        <f>Saldobalance!B86</f>
        <v xml:space="preserve">DONG - EL </v>
      </c>
      <c r="B83" s="83">
        <v>7802.74</v>
      </c>
      <c r="C83" s="84"/>
      <c r="D83" s="83">
        <f>Saldobalance!C86</f>
        <v>8000</v>
      </c>
      <c r="E83" s="84"/>
      <c r="F83" s="83">
        <f>Saldobalance!D86</f>
        <v>9741.14</v>
      </c>
      <c r="G83" s="84"/>
      <c r="H83" s="11"/>
      <c r="I83" s="4"/>
      <c r="J83" s="10">
        <f>2*2000</f>
        <v>4000</v>
      </c>
      <c r="K83" s="82"/>
      <c r="L83" s="11"/>
      <c r="M83" s="4"/>
    </row>
    <row r="84" spans="1:14" s="3" customFormat="1" x14ac:dyDescent="0.25">
      <c r="A84" s="10" t="str">
        <f>Saldobalance!B87</f>
        <v>GEF</v>
      </c>
      <c r="B84" s="83">
        <v>42293.25</v>
      </c>
      <c r="C84" s="84"/>
      <c r="D84" s="83">
        <f>Saldobalance!C87</f>
        <v>43020</v>
      </c>
      <c r="E84" s="84"/>
      <c r="F84" s="83">
        <f>Saldobalance!D87</f>
        <v>43020</v>
      </c>
      <c r="G84" s="84"/>
      <c r="H84" s="11"/>
      <c r="I84" s="4"/>
      <c r="J84" s="136">
        <f>-K8</f>
        <v>19717.5</v>
      </c>
      <c r="K84" s="82"/>
      <c r="L84" s="11"/>
      <c r="M84" s="4"/>
    </row>
    <row r="85" spans="1:14" s="3" customFormat="1" x14ac:dyDescent="0.25">
      <c r="A85" s="10" t="str">
        <f>Saldobalance!B88</f>
        <v>Renovation</v>
      </c>
      <c r="B85" s="83">
        <v>3359.55</v>
      </c>
      <c r="C85" s="84"/>
      <c r="D85" s="83">
        <f>Saldobalance!C88</f>
        <v>4393.05</v>
      </c>
      <c r="E85" s="84"/>
      <c r="F85" s="83">
        <f>Saldobalance!D88</f>
        <v>5006.34</v>
      </c>
      <c r="G85" s="84"/>
      <c r="H85" s="11"/>
      <c r="I85" s="4"/>
      <c r="J85" s="136">
        <f>'Budget Renovation'!G28*11/24</f>
        <v>2213.7316666666666</v>
      </c>
      <c r="K85" s="84"/>
      <c r="L85" s="11"/>
      <c r="M85" s="4"/>
    </row>
    <row r="86" spans="1:14" s="3" customFormat="1" x14ac:dyDescent="0.25">
      <c r="A86" s="10" t="str">
        <f>Saldobalance!B89</f>
        <v>Ejendomsskat</v>
      </c>
      <c r="B86" s="83">
        <v>37195.32</v>
      </c>
      <c r="C86" s="84"/>
      <c r="D86" s="83">
        <f>Saldobalance!C89</f>
        <v>37194.78</v>
      </c>
      <c r="E86" s="84"/>
      <c r="F86" s="83">
        <f>Saldobalance!D89</f>
        <v>37194.769999999997</v>
      </c>
      <c r="G86" s="84"/>
      <c r="H86" s="11"/>
      <c r="I86" s="4"/>
      <c r="J86" s="100">
        <f>2*18597.39/2</f>
        <v>18597.39</v>
      </c>
      <c r="K86" s="84"/>
      <c r="L86" s="11"/>
      <c r="M86" s="4"/>
    </row>
    <row r="87" spans="1:14" s="3" customFormat="1" x14ac:dyDescent="0.25">
      <c r="A87" s="10" t="str">
        <f>Saldobalance!B90</f>
        <v>Forsikringer - 4.318.305.792</v>
      </c>
      <c r="B87" s="83">
        <v>9469.2999999999993</v>
      </c>
      <c r="C87" s="84"/>
      <c r="D87" s="83">
        <f>Saldobalance!C90</f>
        <v>9600</v>
      </c>
      <c r="E87" s="84"/>
      <c r="F87" s="83">
        <f>Saldobalance!D90</f>
        <v>9596.41</v>
      </c>
      <c r="G87" s="84"/>
      <c r="H87" s="11"/>
      <c r="I87" s="4"/>
      <c r="J87" s="10">
        <f>2*4800/2</f>
        <v>4800</v>
      </c>
      <c r="K87" s="84"/>
      <c r="L87" s="11"/>
      <c r="M87" s="4"/>
    </row>
    <row r="88" spans="1:14" s="3" customFormat="1" x14ac:dyDescent="0.25">
      <c r="A88" s="10" t="str">
        <f>Saldobalance!B91</f>
        <v>Udv. Vedligehold Gården</v>
      </c>
      <c r="B88" s="83">
        <v>1421.1</v>
      </c>
      <c r="C88" s="84"/>
      <c r="D88" s="83">
        <f>Saldobalance!C91</f>
        <v>45000</v>
      </c>
      <c r="E88" s="84"/>
      <c r="F88" s="83">
        <f>Saldobalance!D91</f>
        <v>84691.99</v>
      </c>
      <c r="G88" s="84"/>
      <c r="H88" s="11"/>
      <c r="I88" s="4">
        <v>7</v>
      </c>
      <c r="J88" s="10">
        <v>5000</v>
      </c>
      <c r="K88" s="84"/>
      <c r="L88" s="11"/>
      <c r="M88" s="4"/>
    </row>
    <row r="89" spans="1:14" x14ac:dyDescent="0.25">
      <c r="A89" s="10" t="str">
        <f>Saldobalance!B92</f>
        <v>Indv. Vedligehold Gården</v>
      </c>
      <c r="B89" s="10">
        <v>29666</v>
      </c>
      <c r="C89" s="82"/>
      <c r="D89" s="10">
        <f>Saldobalance!C92</f>
        <v>10000</v>
      </c>
      <c r="E89" s="82"/>
      <c r="F89" s="10">
        <f>Saldobalance!D92</f>
        <v>299</v>
      </c>
      <c r="G89" s="82"/>
      <c r="H89" s="82"/>
      <c r="I89" s="4"/>
      <c r="J89" s="100">
        <v>18000</v>
      </c>
      <c r="K89" s="11"/>
      <c r="L89" s="82"/>
      <c r="M89" s="4" t="s">
        <v>374</v>
      </c>
      <c r="N89" s="3" t="s">
        <v>373</v>
      </c>
    </row>
    <row r="90" spans="1:14" ht="13" x14ac:dyDescent="0.3">
      <c r="A90" s="35"/>
      <c r="B90" s="13"/>
      <c r="C90" s="36"/>
      <c r="D90" s="13"/>
      <c r="E90" s="36"/>
      <c r="F90" s="13"/>
      <c r="G90" s="36"/>
      <c r="H90" s="36"/>
      <c r="I90" s="4"/>
      <c r="J90" s="13"/>
      <c r="K90" s="36"/>
      <c r="L90" s="36"/>
      <c r="M90" s="4"/>
    </row>
    <row r="91" spans="1:14" ht="13" x14ac:dyDescent="0.3">
      <c r="A91" s="35" t="str">
        <f>Saldobalance!B96</f>
        <v>Diverse variable udgifter</v>
      </c>
      <c r="B91" s="13"/>
      <c r="C91" s="5">
        <v>11375</v>
      </c>
      <c r="D91" s="13"/>
      <c r="E91" s="2">
        <f>Saldobalance!C96</f>
        <v>0</v>
      </c>
      <c r="F91" s="13"/>
      <c r="G91" s="2">
        <f>Saldobalance!D96</f>
        <v>1400</v>
      </c>
      <c r="H91" s="9"/>
      <c r="I91" s="4"/>
      <c r="J91" s="13"/>
      <c r="K91" s="101">
        <v>0</v>
      </c>
      <c r="L91" s="9"/>
      <c r="M91" s="4"/>
    </row>
    <row r="92" spans="1:14" ht="13" x14ac:dyDescent="0.3">
      <c r="A92" s="35"/>
      <c r="B92" s="13"/>
      <c r="C92" s="2"/>
      <c r="D92" s="13"/>
      <c r="E92" s="2"/>
      <c r="F92" s="13"/>
      <c r="G92" s="2"/>
      <c r="H92" s="2"/>
      <c r="I92" s="4"/>
      <c r="J92" s="13"/>
      <c r="K92" s="2"/>
      <c r="L92" s="2"/>
      <c r="M92" s="4"/>
    </row>
    <row r="93" spans="1:14" ht="13.5" thickBot="1" x14ac:dyDescent="0.35">
      <c r="A93" s="21" t="s">
        <v>179</v>
      </c>
      <c r="B93" s="41"/>
      <c r="C93" s="22">
        <v>213407.05000000002</v>
      </c>
      <c r="D93" s="41"/>
      <c r="E93" s="22">
        <f>Saldobalance!C97</f>
        <v>292547.83</v>
      </c>
      <c r="F93" s="41"/>
      <c r="G93" s="22">
        <f>Saldobalance!D97</f>
        <v>278548.14</v>
      </c>
      <c r="H93" s="81">
        <f>(G93-E93)/E93*100</f>
        <v>-4.7854362823337304</v>
      </c>
      <c r="I93" s="4"/>
      <c r="J93" s="41"/>
      <c r="K93" s="22">
        <f>SUM(K18:K70)+K72+K80</f>
        <v>315388.6216666667</v>
      </c>
      <c r="L93" s="81">
        <f>(K93-E93)/E93*100</f>
        <v>7.8075409640422508</v>
      </c>
      <c r="M93" s="4"/>
    </row>
    <row r="94" spans="1:14" ht="13" thickBot="1" x14ac:dyDescent="0.3">
      <c r="I94" s="4"/>
      <c r="M94" s="4"/>
    </row>
    <row r="95" spans="1:14" ht="13" x14ac:dyDescent="0.3">
      <c r="A95" s="23" t="s">
        <v>180</v>
      </c>
      <c r="B95" s="39"/>
      <c r="C95" s="24"/>
      <c r="D95" s="24"/>
      <c r="E95" s="24"/>
      <c r="F95" s="24"/>
      <c r="G95" s="24"/>
      <c r="H95" s="40"/>
      <c r="I95" s="4"/>
      <c r="J95" s="39"/>
      <c r="K95" s="24"/>
      <c r="L95" s="40"/>
      <c r="M95" s="4"/>
    </row>
    <row r="96" spans="1:14" x14ac:dyDescent="0.25">
      <c r="A96" s="18"/>
      <c r="B96" s="47" t="str">
        <f>$B$5</f>
        <v xml:space="preserve">Regnskab </v>
      </c>
      <c r="C96" s="46">
        <f>$C$5</f>
        <v>2015</v>
      </c>
      <c r="D96" s="45" t="str">
        <f>$D$5</f>
        <v xml:space="preserve">Budget </v>
      </c>
      <c r="E96" s="46">
        <f>$E$5</f>
        <v>2016</v>
      </c>
      <c r="F96" s="45" t="str">
        <f>$F$5</f>
        <v xml:space="preserve">Regnskab </v>
      </c>
      <c r="G96" s="46">
        <f>$G$5</f>
        <v>2016</v>
      </c>
      <c r="H96" s="46" t="str">
        <f>$H$5</f>
        <v xml:space="preserve">Difference </v>
      </c>
      <c r="I96" s="4"/>
      <c r="J96" s="47" t="str">
        <f>$J$5</f>
        <v xml:space="preserve">Budget </v>
      </c>
      <c r="K96" s="46">
        <f>$K$5</f>
        <v>2017</v>
      </c>
      <c r="L96" s="46" t="str">
        <f>$L$5</f>
        <v>Stigning</v>
      </c>
      <c r="M96" s="4"/>
    </row>
    <row r="97" spans="1:14" x14ac:dyDescent="0.25">
      <c r="A97" s="29" t="s">
        <v>3</v>
      </c>
      <c r="B97" s="32"/>
      <c r="C97" s="33"/>
      <c r="D97" s="32"/>
      <c r="E97" s="33"/>
      <c r="F97" s="32"/>
      <c r="G97" s="33"/>
      <c r="H97" s="33" t="s">
        <v>4</v>
      </c>
      <c r="I97" s="4"/>
      <c r="J97" s="32"/>
      <c r="K97" s="33"/>
      <c r="L97" s="33" t="s">
        <v>4</v>
      </c>
      <c r="M97" s="4"/>
    </row>
    <row r="98" spans="1:14" x14ac:dyDescent="0.25">
      <c r="B98" s="13"/>
      <c r="C98" s="36"/>
      <c r="D98" s="13"/>
      <c r="E98" s="36"/>
      <c r="F98" s="13"/>
      <c r="G98" s="36"/>
      <c r="H98" s="36"/>
      <c r="I98" s="4"/>
      <c r="J98" s="13"/>
      <c r="K98" s="36"/>
      <c r="L98" s="36"/>
      <c r="M98" s="4"/>
    </row>
    <row r="99" spans="1:14" ht="13" x14ac:dyDescent="0.3">
      <c r="A99" s="35" t="str">
        <f>Saldobalance!B101</f>
        <v>Ejendomsskat</v>
      </c>
      <c r="B99" s="13"/>
      <c r="C99" s="20">
        <v>41925.050000000003</v>
      </c>
      <c r="D99" s="13"/>
      <c r="E99" s="36">
        <f>Saldobalance!C101</f>
        <v>41937</v>
      </c>
      <c r="F99" s="13"/>
      <c r="G99" s="36">
        <f>Saldobalance!D101</f>
        <v>41936.99</v>
      </c>
      <c r="H99" s="9">
        <f>(G99-E99)/E99*100</f>
        <v>-2.384529175200245E-5</v>
      </c>
      <c r="I99" s="4"/>
      <c r="J99" s="13"/>
      <c r="K99" s="36">
        <f>2*(19895.5+1073)</f>
        <v>41937</v>
      </c>
      <c r="L99" s="9">
        <f>(K99-E99)/E99*100</f>
        <v>0</v>
      </c>
      <c r="M99" s="4"/>
    </row>
    <row r="100" spans="1:14" ht="13" x14ac:dyDescent="0.3">
      <c r="A100" s="35"/>
      <c r="B100" s="13"/>
      <c r="D100" s="13"/>
      <c r="E100" s="36"/>
      <c r="F100" s="13"/>
      <c r="G100" s="36"/>
      <c r="H100" s="36"/>
      <c r="I100" s="4"/>
      <c r="J100" s="13"/>
      <c r="K100" s="36"/>
      <c r="L100" s="36"/>
      <c r="M100" s="4"/>
    </row>
    <row r="101" spans="1:14" ht="13" x14ac:dyDescent="0.3">
      <c r="A101" s="35" t="str">
        <f>Saldobalance!B102</f>
        <v>Forsikringer</v>
      </c>
      <c r="B101" s="13"/>
      <c r="C101" s="20">
        <v>38851.620000000003</v>
      </c>
      <c r="D101" s="13"/>
      <c r="E101" s="36">
        <f>Saldobalance!C102</f>
        <v>40500</v>
      </c>
      <c r="F101" s="13"/>
      <c r="G101" s="36">
        <f>Saldobalance!D102</f>
        <v>37148.550000000003</v>
      </c>
      <c r="H101" s="9">
        <f>(G101-E101)/E101*100</f>
        <v>-8.2751851851851779</v>
      </c>
      <c r="I101" s="4"/>
      <c r="J101" s="13"/>
      <c r="K101" s="6">
        <v>41700</v>
      </c>
      <c r="L101" s="9">
        <f>(K101-E101)/E101*100</f>
        <v>2.9629629629629632</v>
      </c>
      <c r="M101" s="4"/>
      <c r="N101" s="3"/>
    </row>
    <row r="102" spans="1:14" ht="13" x14ac:dyDescent="0.3">
      <c r="A102" s="35"/>
      <c r="B102" s="13"/>
      <c r="C102" s="6"/>
      <c r="D102" s="13"/>
      <c r="E102" s="6"/>
      <c r="F102" s="13"/>
      <c r="G102" s="6"/>
      <c r="H102" s="6"/>
      <c r="I102" s="4"/>
      <c r="J102" s="13"/>
      <c r="K102" s="6"/>
      <c r="L102" s="6"/>
      <c r="M102" s="4"/>
    </row>
    <row r="103" spans="1:14" ht="13" x14ac:dyDescent="0.3">
      <c r="A103" s="35" t="str">
        <f>Saldobalance!B104</f>
        <v>Afskrivninger</v>
      </c>
      <c r="B103" s="13"/>
      <c r="C103" s="2">
        <v>226127.7</v>
      </c>
      <c r="D103" s="13"/>
      <c r="E103" s="2">
        <f>Saldobalance!C110</f>
        <v>226125.79</v>
      </c>
      <c r="F103" s="13"/>
      <c r="G103" s="2">
        <f>Saldobalance!D110</f>
        <v>226127.7</v>
      </c>
      <c r="H103" s="9">
        <f>(G103-E103)/E103*100</f>
        <v>8.4466261013548807E-4</v>
      </c>
      <c r="I103" s="4"/>
      <c r="J103" s="13"/>
      <c r="K103" s="2">
        <f>SUM(J104:J108)</f>
        <v>226125.79703830605</v>
      </c>
      <c r="L103" s="9">
        <f>(K103-E103)/E103*100</f>
        <v>3.1125622766999372E-6</v>
      </c>
      <c r="M103" s="4"/>
      <c r="N103" s="20" t="s">
        <v>240</v>
      </c>
    </row>
    <row r="104" spans="1:14" x14ac:dyDescent="0.25">
      <c r="A104" s="10" t="str">
        <f>Saldobalance!B105</f>
        <v>7AV - Stuehuset + Østlængen</v>
      </c>
      <c r="B104" s="10">
        <v>29275.38</v>
      </c>
      <c r="C104" s="82"/>
      <c r="D104" s="10">
        <f>Saldobalance!C105</f>
        <v>29275.35</v>
      </c>
      <c r="E104" s="82"/>
      <c r="F104" s="10">
        <f>Saldobalance!D105</f>
        <v>29275.38</v>
      </c>
      <c r="G104" s="82"/>
      <c r="H104" s="82"/>
      <c r="I104" s="4">
        <v>8</v>
      </c>
      <c r="J104" s="10">
        <v>29275.35191211661</v>
      </c>
      <c r="K104" s="11"/>
      <c r="L104" s="82"/>
      <c r="M104" s="4" t="s">
        <v>375</v>
      </c>
      <c r="N104" s="87">
        <v>2016</v>
      </c>
    </row>
    <row r="105" spans="1:14" x14ac:dyDescent="0.25">
      <c r="A105" s="10" t="str">
        <f>Saldobalance!B106</f>
        <v>Komfur &amp; Ovn, ????</v>
      </c>
      <c r="B105" s="10">
        <v>10039.44</v>
      </c>
      <c r="C105" s="82"/>
      <c r="D105" s="10">
        <f>Saldobalance!C106</f>
        <v>10039.43</v>
      </c>
      <c r="E105" s="82"/>
      <c r="F105" s="10">
        <f>Saldobalance!D106</f>
        <v>10039.44</v>
      </c>
      <c r="G105" s="82"/>
      <c r="H105" s="82"/>
      <c r="I105" s="4"/>
      <c r="J105" s="10">
        <v>10039.433106815231</v>
      </c>
      <c r="K105" s="11"/>
      <c r="L105" s="82"/>
      <c r="M105" s="4"/>
      <c r="N105" s="87">
        <v>2013</v>
      </c>
    </row>
    <row r="106" spans="1:14" x14ac:dyDescent="0.25">
      <c r="A106" s="10" t="str">
        <f>Saldobalance!B107</f>
        <v>Fyrudskiftning, 1999</v>
      </c>
      <c r="B106" s="10">
        <v>172513.32</v>
      </c>
      <c r="C106" s="82"/>
      <c r="D106" s="10">
        <f>Saldobalance!C107</f>
        <v>172513.29</v>
      </c>
      <c r="E106" s="82"/>
      <c r="F106" s="10">
        <f>Saldobalance!D107</f>
        <v>172513.32</v>
      </c>
      <c r="G106" s="82"/>
      <c r="H106" s="82"/>
      <c r="I106" s="4"/>
      <c r="J106" s="10">
        <v>172513.29309346108</v>
      </c>
      <c r="K106" s="11"/>
      <c r="L106" s="82"/>
      <c r="M106" s="4"/>
      <c r="N106" s="87">
        <v>2013</v>
      </c>
    </row>
    <row r="107" spans="1:14" x14ac:dyDescent="0.25">
      <c r="A107" s="10" t="str">
        <f>Saldobalance!B108</f>
        <v>Tørretumbler, 1999</v>
      </c>
      <c r="B107" s="10">
        <v>6442.74</v>
      </c>
      <c r="C107" s="82"/>
      <c r="D107" s="10">
        <f>Saldobalance!C108</f>
        <v>6442.72</v>
      </c>
      <c r="E107" s="82"/>
      <c r="F107" s="10">
        <f>Saldobalance!D108</f>
        <v>6442.74</v>
      </c>
      <c r="G107" s="82"/>
      <c r="H107" s="82"/>
      <c r="I107" s="4"/>
      <c r="J107" s="10">
        <v>6442.7189259131173</v>
      </c>
      <c r="K107" s="11"/>
      <c r="L107" s="82"/>
      <c r="M107" s="4"/>
      <c r="N107" s="87">
        <v>2015</v>
      </c>
    </row>
    <row r="108" spans="1:14" x14ac:dyDescent="0.25">
      <c r="A108" s="10" t="str">
        <f>Saldobalance!B109</f>
        <v>Vaskemaskiner, 2011</v>
      </c>
      <c r="B108" s="10">
        <v>7856.82</v>
      </c>
      <c r="C108" s="82"/>
      <c r="D108" s="10">
        <f>Saldobalance!C109</f>
        <v>7855</v>
      </c>
      <c r="E108" s="82"/>
      <c r="F108" s="10">
        <f>Saldobalance!D109</f>
        <v>7856.82</v>
      </c>
      <c r="G108" s="82"/>
      <c r="H108" s="82"/>
      <c r="I108" s="4"/>
      <c r="J108" s="10">
        <v>7855</v>
      </c>
      <c r="K108" s="11"/>
      <c r="L108" s="82"/>
      <c r="M108" s="4"/>
      <c r="N108" s="87">
        <v>2023</v>
      </c>
    </row>
    <row r="109" spans="1:14" ht="13" x14ac:dyDescent="0.3">
      <c r="A109" s="35"/>
      <c r="B109" s="85"/>
      <c r="C109" s="86"/>
      <c r="D109" s="85"/>
      <c r="E109" s="86"/>
      <c r="F109" s="85"/>
      <c r="G109" s="86"/>
      <c r="H109" s="86"/>
      <c r="I109" s="4"/>
      <c r="J109" s="85"/>
      <c r="K109" s="36"/>
      <c r="L109" s="86"/>
      <c r="M109" s="4"/>
    </row>
    <row r="110" spans="1:14" ht="13" x14ac:dyDescent="0.3">
      <c r="A110" s="35" t="str">
        <f>Saldobalance!B112</f>
        <v>Renter og gebyrer</v>
      </c>
      <c r="B110" s="13"/>
      <c r="C110" s="6">
        <v>447.8</v>
      </c>
      <c r="D110" s="13"/>
      <c r="E110" s="6">
        <f>Saldobalance!C118</f>
        <v>0</v>
      </c>
      <c r="F110" s="13"/>
      <c r="G110" s="6">
        <f>Saldobalance!D118</f>
        <v>662.38</v>
      </c>
      <c r="H110" s="9"/>
      <c r="I110" s="4"/>
      <c r="J110" s="13"/>
      <c r="K110" s="6">
        <f>SUM(J111:J114)</f>
        <v>0</v>
      </c>
      <c r="L110" s="88" t="str">
        <f>IF(E110=0,"--",(K110-E110)/E110*100)</f>
        <v>--</v>
      </c>
      <c r="M110" s="4"/>
    </row>
    <row r="111" spans="1:14" x14ac:dyDescent="0.25">
      <c r="A111" s="10" t="str">
        <f>Saldobalance!B113</f>
        <v>Nordea renteudgift</v>
      </c>
      <c r="B111" s="10">
        <v>0</v>
      </c>
      <c r="C111" s="11"/>
      <c r="D111" s="10">
        <f>Saldobalance!C113+Saldobalance!C114</f>
        <v>0</v>
      </c>
      <c r="E111" s="11"/>
      <c r="F111" s="10">
        <f>Saldobalance!D113+Saldobalance!D114</f>
        <v>0</v>
      </c>
      <c r="G111" s="11"/>
      <c r="H111" s="11"/>
      <c r="I111" s="4"/>
      <c r="J111" s="10">
        <v>0</v>
      </c>
      <c r="K111" s="11"/>
      <c r="L111" s="11"/>
      <c r="M111" s="4"/>
    </row>
    <row r="112" spans="1:14" x14ac:dyDescent="0.25">
      <c r="A112" s="10" t="str">
        <f>Saldobalance!B115</f>
        <v>Gevinst på valutakursdiff, debitorer</v>
      </c>
      <c r="B112" s="10">
        <v>0</v>
      </c>
      <c r="C112" s="11"/>
      <c r="D112" s="10">
        <f>Saldobalance!C115</f>
        <v>0</v>
      </c>
      <c r="E112" s="11"/>
      <c r="F112" s="10">
        <f>Saldobalance!D115</f>
        <v>0</v>
      </c>
      <c r="G112" s="11"/>
      <c r="H112" s="11"/>
      <c r="I112" s="4"/>
      <c r="J112" s="10">
        <v>0</v>
      </c>
      <c r="K112" s="11"/>
      <c r="L112" s="11"/>
      <c r="M112" s="4"/>
    </row>
    <row r="113" spans="1:14" x14ac:dyDescent="0.25">
      <c r="A113" s="10" t="str">
        <f>Saldobalance!B116</f>
        <v>Gevinst på valutakursdiff, kreditorer</v>
      </c>
      <c r="B113" s="10">
        <v>0</v>
      </c>
      <c r="C113" s="11"/>
      <c r="D113" s="10">
        <f>Saldobalance!C116</f>
        <v>0</v>
      </c>
      <c r="E113" s="11"/>
      <c r="F113" s="10">
        <f>Saldobalance!D116</f>
        <v>0</v>
      </c>
      <c r="G113" s="11"/>
      <c r="H113" s="11"/>
      <c r="I113" s="4"/>
      <c r="J113" s="10">
        <v>0</v>
      </c>
      <c r="K113" s="11"/>
      <c r="L113" s="11"/>
      <c r="M113" s="4"/>
    </row>
    <row r="114" spans="1:14" x14ac:dyDescent="0.25">
      <c r="A114" s="10" t="str">
        <f>Saldobalance!B117</f>
        <v>Andre renter og gebyrer</v>
      </c>
      <c r="B114" s="10">
        <v>447.8</v>
      </c>
      <c r="C114" s="11"/>
      <c r="D114" s="10">
        <f>Saldobalance!C117</f>
        <v>0</v>
      </c>
      <c r="E114" s="11"/>
      <c r="F114" s="10">
        <f>Saldobalance!D117</f>
        <v>662.38</v>
      </c>
      <c r="G114" s="11"/>
      <c r="H114" s="11"/>
      <c r="I114" s="94"/>
      <c r="J114" s="10">
        <v>0</v>
      </c>
      <c r="K114" s="11"/>
      <c r="L114" s="11"/>
      <c r="M114" s="4"/>
    </row>
    <row r="115" spans="1:14" ht="13" x14ac:dyDescent="0.3">
      <c r="A115" s="35"/>
      <c r="B115" s="13"/>
      <c r="C115" s="36"/>
      <c r="D115" s="13"/>
      <c r="E115" s="36"/>
      <c r="F115" s="13"/>
      <c r="G115" s="36"/>
      <c r="H115" s="36"/>
      <c r="I115" s="4"/>
      <c r="J115" s="13"/>
      <c r="K115" s="36"/>
      <c r="L115" s="36"/>
      <c r="M115" s="4"/>
    </row>
    <row r="116" spans="1:14" ht="13" x14ac:dyDescent="0.3">
      <c r="A116" s="35" t="str">
        <f>Saldobalance!B120</f>
        <v>Ressourceforbrug i Fælleshuset</v>
      </c>
      <c r="B116" s="13"/>
      <c r="C116" s="2">
        <v>123827.1</v>
      </c>
      <c r="D116" s="13"/>
      <c r="E116" s="2">
        <f>Saldobalance!C126</f>
        <v>121995.03</v>
      </c>
      <c r="F116" s="13"/>
      <c r="G116" s="2">
        <f>Saldobalance!D126</f>
        <v>108633.87999999999</v>
      </c>
      <c r="H116" s="9">
        <f>(G116-E116)/E116*100</f>
        <v>-10.952208462918538</v>
      </c>
      <c r="I116" s="4"/>
      <c r="J116" s="13"/>
      <c r="K116" s="2">
        <f>SUM(J117:J121)</f>
        <v>123208.45357142856</v>
      </c>
      <c r="L116" s="9">
        <f>(K116-E116)/E116*100</f>
        <v>0.99465000453589014</v>
      </c>
      <c r="M116" s="4"/>
    </row>
    <row r="117" spans="1:14" x14ac:dyDescent="0.25">
      <c r="A117" s="10" t="str">
        <f>Saldobalance!B121</f>
        <v>Renovation</v>
      </c>
      <c r="B117" s="10">
        <v>11699.66</v>
      </c>
      <c r="C117" s="82"/>
      <c r="D117" s="10">
        <f>Saldobalance!C121</f>
        <v>11815.03</v>
      </c>
      <c r="E117" s="82"/>
      <c r="F117" s="10">
        <f>Saldobalance!D121</f>
        <v>11093.79</v>
      </c>
      <c r="G117" s="82"/>
      <c r="H117" s="82"/>
      <c r="I117" s="4"/>
      <c r="J117" s="10">
        <f>'Budget Renovation'!G20</f>
        <v>11815.025000000001</v>
      </c>
      <c r="K117" s="11"/>
      <c r="L117" s="82"/>
      <c r="M117" s="4"/>
      <c r="N117" s="3"/>
    </row>
    <row r="118" spans="1:14" x14ac:dyDescent="0.25">
      <c r="A118" s="10" t="str">
        <f>Saldobalance!B122</f>
        <v>EL</v>
      </c>
      <c r="B118" s="10">
        <v>62515.48</v>
      </c>
      <c r="C118" s="82"/>
      <c r="D118" s="10">
        <f>Saldobalance!C122</f>
        <v>65800</v>
      </c>
      <c r="E118" s="82"/>
      <c r="F118" s="10">
        <f>Saldobalance!D122</f>
        <v>46518.42</v>
      </c>
      <c r="G118" s="82"/>
      <c r="H118" s="82"/>
      <c r="I118" s="4">
        <v>9</v>
      </c>
      <c r="J118" s="152">
        <v>61000</v>
      </c>
      <c r="K118" s="11"/>
      <c r="L118" s="82"/>
      <c r="M118" s="4"/>
    </row>
    <row r="119" spans="1:14" x14ac:dyDescent="0.25">
      <c r="A119" s="10" t="str">
        <f>Saldobalance!B123</f>
        <v>Varme / gas</v>
      </c>
      <c r="B119" s="10">
        <v>35912</v>
      </c>
      <c r="C119" s="82"/>
      <c r="D119" s="10">
        <f>Saldobalance!C123</f>
        <v>23196</v>
      </c>
      <c r="E119" s="82"/>
      <c r="F119" s="10">
        <f>Saldobalance!D123</f>
        <v>24785</v>
      </c>
      <c r="G119" s="82"/>
      <c r="H119" s="82"/>
      <c r="I119" s="4"/>
      <c r="J119" s="10">
        <f>6*4743</f>
        <v>28458</v>
      </c>
      <c r="K119" s="11"/>
      <c r="L119" s="82"/>
      <c r="M119" s="4"/>
    </row>
    <row r="120" spans="1:14" x14ac:dyDescent="0.25">
      <c r="A120" s="10" t="str">
        <f>Saldobalance!B124</f>
        <v>Vand</v>
      </c>
      <c r="B120" s="10">
        <v>11728</v>
      </c>
      <c r="C120" s="82"/>
      <c r="D120" s="10">
        <f>Saldobalance!C124</f>
        <v>18684</v>
      </c>
      <c r="E120" s="82"/>
      <c r="F120" s="10">
        <f>Saldobalance!D124</f>
        <v>23392</v>
      </c>
      <c r="G120" s="82"/>
      <c r="H120" s="82"/>
      <c r="I120" s="4"/>
      <c r="J120" s="155">
        <v>18684</v>
      </c>
      <c r="K120" s="11"/>
      <c r="L120" s="82"/>
      <c r="M120" s="4"/>
      <c r="N120" s="3"/>
    </row>
    <row r="121" spans="1:14" x14ac:dyDescent="0.25">
      <c r="A121" s="10" t="str">
        <f>Saldobalance!B125</f>
        <v>Vask</v>
      </c>
      <c r="B121" s="10">
        <v>1971.96</v>
      </c>
      <c r="C121" s="82"/>
      <c r="D121" s="10">
        <f>Saldobalance!C125</f>
        <v>2500</v>
      </c>
      <c r="E121" s="82"/>
      <c r="F121" s="10">
        <f>Saldobalance!D125</f>
        <v>2844.67</v>
      </c>
      <c r="G121" s="82"/>
      <c r="H121" s="82"/>
      <c r="I121" s="4"/>
      <c r="J121" s="10">
        <f>2845*8/7</f>
        <v>3251.4285714285716</v>
      </c>
      <c r="K121" s="11"/>
      <c r="L121" s="82"/>
      <c r="M121" s="4" t="s">
        <v>376</v>
      </c>
      <c r="N121" s="3"/>
    </row>
    <row r="122" spans="1:14" x14ac:dyDescent="0.25">
      <c r="A122" s="34"/>
      <c r="B122" s="34"/>
      <c r="C122" s="36"/>
      <c r="D122" s="34"/>
      <c r="E122" s="36"/>
      <c r="F122" s="34"/>
      <c r="G122" s="36"/>
      <c r="H122" s="36"/>
      <c r="I122" s="4"/>
      <c r="J122" s="34"/>
      <c r="K122" s="36"/>
      <c r="L122" s="36"/>
      <c r="M122" s="4"/>
    </row>
    <row r="123" spans="1:14" ht="13" x14ac:dyDescent="0.3">
      <c r="A123" s="35" t="str">
        <f>Saldobalance!B128</f>
        <v>Bestyrelsen</v>
      </c>
      <c r="B123" s="13"/>
      <c r="C123" s="36">
        <v>7919.95</v>
      </c>
      <c r="D123" s="13"/>
      <c r="E123" s="36">
        <f>Saldobalance!C132</f>
        <v>10500</v>
      </c>
      <c r="F123" s="13"/>
      <c r="G123" s="36">
        <f>Saldobalance!D132</f>
        <v>6213.3</v>
      </c>
      <c r="H123" s="9">
        <f>(G123-E123)/E123*100</f>
        <v>-40.825714285714284</v>
      </c>
      <c r="I123" s="4"/>
      <c r="J123" s="13"/>
      <c r="K123" s="36">
        <f>SUM(J124:J126)</f>
        <v>13500</v>
      </c>
      <c r="L123" s="9">
        <f>(K123-E123)/E123*100</f>
        <v>28.571428571428569</v>
      </c>
      <c r="M123" s="4"/>
    </row>
    <row r="124" spans="1:14" x14ac:dyDescent="0.25">
      <c r="A124" s="10" t="str">
        <f>Saldobalance!B129</f>
        <v>Drift af bestyrelsen</v>
      </c>
      <c r="B124" s="10">
        <v>2190</v>
      </c>
      <c r="C124" s="11"/>
      <c r="D124" s="10">
        <f>Saldobalance!C129</f>
        <v>3500</v>
      </c>
      <c r="E124" s="11"/>
      <c r="F124" s="10">
        <f>Saldobalance!D129</f>
        <v>0</v>
      </c>
      <c r="G124" s="11"/>
      <c r="H124" s="11"/>
      <c r="I124" s="4"/>
      <c r="J124" s="10">
        <v>6500</v>
      </c>
      <c r="K124" s="11"/>
      <c r="L124" s="11"/>
      <c r="M124" s="4" t="s">
        <v>377</v>
      </c>
      <c r="N124" s="3"/>
    </row>
    <row r="125" spans="1:14" x14ac:dyDescent="0.25">
      <c r="A125" s="10" t="str">
        <f>Saldobalance!B130</f>
        <v>Kontorartikler og Porto</v>
      </c>
      <c r="B125" s="10">
        <v>419.95</v>
      </c>
      <c r="C125" s="11"/>
      <c r="D125" s="10">
        <f>Saldobalance!C130</f>
        <v>1000</v>
      </c>
      <c r="E125" s="11"/>
      <c r="F125" s="10">
        <f>Saldobalance!D130</f>
        <v>978.3</v>
      </c>
      <c r="G125" s="11"/>
      <c r="H125" s="11"/>
      <c r="I125" s="4"/>
      <c r="J125" s="10">
        <v>1000</v>
      </c>
      <c r="K125" s="11"/>
      <c r="L125" s="11"/>
      <c r="M125" s="4"/>
    </row>
    <row r="126" spans="1:14" x14ac:dyDescent="0.25">
      <c r="A126" s="10" t="str">
        <f>Saldobalance!B131</f>
        <v>Økonomisystem</v>
      </c>
      <c r="B126" s="10">
        <v>5310</v>
      </c>
      <c r="C126" s="11"/>
      <c r="D126" s="10">
        <f>Saldobalance!C131</f>
        <v>6000</v>
      </c>
      <c r="E126" s="11"/>
      <c r="F126" s="10">
        <f>Saldobalance!D131</f>
        <v>5235</v>
      </c>
      <c r="G126" s="11"/>
      <c r="H126" s="11"/>
      <c r="I126" s="4"/>
      <c r="J126" s="10">
        <v>6000</v>
      </c>
      <c r="K126" s="11"/>
      <c r="L126" s="11"/>
      <c r="M126" s="4"/>
    </row>
    <row r="127" spans="1:14" ht="13" x14ac:dyDescent="0.3">
      <c r="A127" s="35"/>
      <c r="B127" s="13"/>
      <c r="C127" s="6"/>
      <c r="D127" s="13"/>
      <c r="E127" s="6"/>
      <c r="F127" s="13"/>
      <c r="G127" s="6"/>
      <c r="H127" s="6"/>
      <c r="I127" s="4"/>
      <c r="J127" s="13"/>
      <c r="K127" s="6"/>
      <c r="L127" s="6"/>
      <c r="M127" s="4"/>
    </row>
    <row r="128" spans="1:14" ht="13" x14ac:dyDescent="0.3">
      <c r="A128" s="35" t="str">
        <f>Saldobalance!B134</f>
        <v>Revision</v>
      </c>
      <c r="B128" s="13"/>
      <c r="C128" s="2">
        <v>26500</v>
      </c>
      <c r="D128" s="13"/>
      <c r="E128" s="2">
        <f>Saldobalance!C137</f>
        <v>26500</v>
      </c>
      <c r="F128" s="13"/>
      <c r="G128" s="2">
        <f>Saldobalance!D137</f>
        <v>26687.5</v>
      </c>
      <c r="H128" s="9">
        <f>(G128-E128)/E128*100</f>
        <v>0.70754716981132082</v>
      </c>
      <c r="I128" s="4"/>
      <c r="J128" s="13"/>
      <c r="K128" s="2">
        <f>SUM(J129:J130)</f>
        <v>26700</v>
      </c>
      <c r="L128" s="9">
        <f>(K128-E128)/E128*100</f>
        <v>0.75471698113207553</v>
      </c>
      <c r="M128" s="4"/>
    </row>
    <row r="129" spans="1:14" x14ac:dyDescent="0.25">
      <c r="A129" s="10" t="str">
        <f>Saldobalance!B135</f>
        <v>GEF-regnskab</v>
      </c>
      <c r="B129" s="10">
        <v>17500</v>
      </c>
      <c r="C129" s="82"/>
      <c r="D129" s="10">
        <f>Saldobalance!C135</f>
        <v>17500</v>
      </c>
      <c r="E129" s="82"/>
      <c r="F129" s="10">
        <f>Saldobalance!D135</f>
        <v>17500</v>
      </c>
      <c r="G129" s="82"/>
      <c r="H129" s="82"/>
      <c r="I129" s="4"/>
      <c r="J129" s="10">
        <v>17500</v>
      </c>
      <c r="K129" s="11"/>
      <c r="L129" s="82"/>
      <c r="M129" s="4"/>
      <c r="N129" s="3"/>
    </row>
    <row r="130" spans="1:14" x14ac:dyDescent="0.25">
      <c r="A130" s="10" t="str">
        <f>Saldobalance!B136</f>
        <v>IS-regnskab</v>
      </c>
      <c r="B130" s="10">
        <v>9000</v>
      </c>
      <c r="C130" s="82"/>
      <c r="D130" s="10">
        <f>Saldobalance!C136</f>
        <v>9000</v>
      </c>
      <c r="E130" s="82"/>
      <c r="F130" s="10">
        <f>Saldobalance!D136</f>
        <v>9187.5</v>
      </c>
      <c r="G130" s="82"/>
      <c r="H130" s="82"/>
      <c r="I130" s="4"/>
      <c r="J130" s="10">
        <v>9200</v>
      </c>
      <c r="K130" s="11"/>
      <c r="L130" s="82"/>
      <c r="M130" s="4"/>
    </row>
    <row r="131" spans="1:14" ht="13" x14ac:dyDescent="0.3">
      <c r="A131" s="35"/>
      <c r="B131" s="13"/>
      <c r="C131" s="6"/>
      <c r="D131" s="13"/>
      <c r="E131" s="6"/>
      <c r="F131" s="13"/>
      <c r="G131" s="6"/>
      <c r="H131" s="6"/>
      <c r="I131" s="4"/>
      <c r="J131" s="13"/>
      <c r="K131" s="6"/>
      <c r="L131" s="6"/>
      <c r="M131" s="4"/>
    </row>
    <row r="132" spans="1:14" ht="13" x14ac:dyDescent="0.3">
      <c r="A132" s="35" t="str">
        <f>Saldobalance!B139</f>
        <v>Diverse</v>
      </c>
      <c r="B132" s="13"/>
      <c r="C132" s="2">
        <v>0</v>
      </c>
      <c r="D132" s="13"/>
      <c r="E132" s="2">
        <f>Saldobalance!C144</f>
        <v>2000</v>
      </c>
      <c r="F132" s="13"/>
      <c r="G132" s="2">
        <f>Saldobalance!D144</f>
        <v>0</v>
      </c>
      <c r="H132" s="9">
        <f>(G132-E132)/E132*100</f>
        <v>-100</v>
      </c>
      <c r="I132" s="4"/>
      <c r="J132" s="13"/>
      <c r="K132" s="2">
        <f>SUM(J133:J136)</f>
        <v>2000</v>
      </c>
      <c r="L132" s="9">
        <f>(K132-E132)/E132*100</f>
        <v>0</v>
      </c>
      <c r="M132" s="4"/>
    </row>
    <row r="133" spans="1:14" x14ac:dyDescent="0.25">
      <c r="A133" s="10" t="str">
        <f>Saldobalance!B140</f>
        <v>Tab på Bofæller</v>
      </c>
      <c r="B133" s="10">
        <v>0</v>
      </c>
      <c r="C133" s="82"/>
      <c r="D133" s="10">
        <f>Saldobalance!C140</f>
        <v>0</v>
      </c>
      <c r="E133" s="82"/>
      <c r="F133" s="10">
        <f>Saldobalance!D140</f>
        <v>0</v>
      </c>
      <c r="G133" s="82"/>
      <c r="H133" s="82"/>
      <c r="I133" s="4"/>
      <c r="J133" s="10">
        <v>0</v>
      </c>
      <c r="K133" s="11"/>
      <c r="L133" s="82"/>
      <c r="M133" s="4"/>
    </row>
    <row r="134" spans="1:14" x14ac:dyDescent="0.25">
      <c r="A134" s="10" t="str">
        <f>Saldobalance!B141</f>
        <v>Øredifferencer</v>
      </c>
      <c r="B134" s="10">
        <v>0</v>
      </c>
      <c r="C134" s="82"/>
      <c r="D134" s="10">
        <f>Saldobalance!C141</f>
        <v>0</v>
      </c>
      <c r="E134" s="82"/>
      <c r="F134" s="10">
        <f>Saldobalance!D141</f>
        <v>0</v>
      </c>
      <c r="G134" s="82"/>
      <c r="H134" s="82"/>
      <c r="I134" s="4"/>
      <c r="J134" s="10">
        <v>0</v>
      </c>
      <c r="K134" s="11"/>
      <c r="L134" s="82"/>
      <c r="M134" s="4"/>
    </row>
    <row r="135" spans="1:14" x14ac:dyDescent="0.25">
      <c r="A135" s="10" t="str">
        <f>Saldobalance!B142</f>
        <v>Afrundingsfejl på Sol-projekt</v>
      </c>
      <c r="B135" s="10">
        <v>0</v>
      </c>
      <c r="C135" s="82"/>
      <c r="D135" s="10">
        <f>Saldobalance!C142</f>
        <v>0</v>
      </c>
      <c r="E135" s="82"/>
      <c r="F135" s="10">
        <f>Saldobalance!D142</f>
        <v>0</v>
      </c>
      <c r="G135" s="82"/>
      <c r="H135" s="82"/>
      <c r="I135" s="4"/>
      <c r="J135" s="10">
        <v>0</v>
      </c>
      <c r="K135" s="11"/>
      <c r="L135" s="82"/>
      <c r="M135" s="4"/>
    </row>
    <row r="136" spans="1:14" x14ac:dyDescent="0.25">
      <c r="A136" s="10" t="str">
        <f>Saldobalance!B143</f>
        <v>Diverse omkostninger</v>
      </c>
      <c r="B136" s="10">
        <v>0</v>
      </c>
      <c r="C136" s="82"/>
      <c r="D136" s="10">
        <f>Saldobalance!C143</f>
        <v>2000</v>
      </c>
      <c r="E136" s="82"/>
      <c r="F136" s="10">
        <f>Saldobalance!D143</f>
        <v>0</v>
      </c>
      <c r="G136" s="82"/>
      <c r="H136" s="82"/>
      <c r="I136" s="4"/>
      <c r="J136" s="10">
        <v>2000</v>
      </c>
      <c r="K136" s="11"/>
      <c r="L136" s="82"/>
      <c r="M136" s="4"/>
    </row>
    <row r="137" spans="1:14" x14ac:dyDescent="0.25">
      <c r="A137" s="14"/>
      <c r="B137" s="14"/>
      <c r="C137" s="50"/>
      <c r="D137" s="14"/>
      <c r="E137" s="50"/>
      <c r="F137" s="14"/>
      <c r="G137" s="50"/>
      <c r="H137" s="50"/>
      <c r="I137" s="4"/>
      <c r="J137" s="14"/>
      <c r="K137" s="50"/>
      <c r="L137" s="50"/>
      <c r="M137" s="4"/>
    </row>
    <row r="138" spans="1:14" ht="13.5" thickBot="1" x14ac:dyDescent="0.35">
      <c r="A138" s="21" t="str">
        <f>Saldobalance!B145</f>
        <v>Faste udgifter i alt</v>
      </c>
      <c r="B138" s="37"/>
      <c r="C138" s="7">
        <v>465599.22000000003</v>
      </c>
      <c r="D138" s="37"/>
      <c r="E138" s="7">
        <f>Saldobalance!C145</f>
        <v>469557.82000000007</v>
      </c>
      <c r="F138" s="37"/>
      <c r="G138" s="7">
        <f>Saldobalance!D145</f>
        <v>447410.3</v>
      </c>
      <c r="H138" s="104">
        <f>(G138-E138)/E138*100</f>
        <v>-4.7166757865943056</v>
      </c>
      <c r="I138" s="4"/>
      <c r="J138" s="37"/>
      <c r="K138" s="7">
        <f>SUM(K98:K136)</f>
        <v>475171.25060973456</v>
      </c>
      <c r="L138" s="66">
        <f>(K138-E138)/E138*100</f>
        <v>1.195471648142181</v>
      </c>
      <c r="M138" s="4"/>
    </row>
    <row r="139" spans="1:14" ht="13" x14ac:dyDescent="0.3">
      <c r="A139" s="12"/>
      <c r="B139" s="1"/>
      <c r="C139" s="16"/>
      <c r="D139" s="1"/>
      <c r="E139" s="16"/>
      <c r="F139" s="1"/>
      <c r="G139" s="16"/>
      <c r="H139" s="16"/>
      <c r="I139" s="4"/>
      <c r="J139" s="1"/>
      <c r="K139" s="16"/>
      <c r="L139" s="16"/>
      <c r="M139" s="4"/>
      <c r="N139" s="90"/>
    </row>
    <row r="140" spans="1:14" ht="13.5" thickBot="1" x14ac:dyDescent="0.35">
      <c r="A140" s="21" t="str">
        <f>Saldobalance!B146</f>
        <v>Fælles udgifter i alt</v>
      </c>
      <c r="B140" s="41"/>
      <c r="C140" s="22">
        <v>679006.27</v>
      </c>
      <c r="D140" s="41"/>
      <c r="E140" s="22">
        <f>Saldobalance!C146</f>
        <v>762105.65</v>
      </c>
      <c r="F140" s="41"/>
      <c r="G140" s="22">
        <f>Saldobalance!D146</f>
        <v>725958.44000000018</v>
      </c>
      <c r="H140" s="104">
        <f>(G140-E140)/E140*100</f>
        <v>-4.7430707277921176</v>
      </c>
      <c r="I140" s="4"/>
      <c r="J140" s="41"/>
      <c r="K140" s="22">
        <f>SUM(K93+K138)</f>
        <v>790559.87227640126</v>
      </c>
      <c r="L140" s="66">
        <f>(K140-E140)/E140*100</f>
        <v>3.7336322432987132</v>
      </c>
      <c r="M140" s="4"/>
    </row>
    <row r="141" spans="1:14" x14ac:dyDescent="0.25">
      <c r="I141" s="4"/>
      <c r="M141" s="4"/>
      <c r="N141" s="95"/>
    </row>
    <row r="142" spans="1:14" ht="13.5" thickBot="1" x14ac:dyDescent="0.35">
      <c r="A142" s="21" t="str">
        <f>Saldobalance!B147</f>
        <v>Årets resultat for Bakken</v>
      </c>
      <c r="B142" s="41"/>
      <c r="C142" s="91">
        <v>123286.97999999989</v>
      </c>
      <c r="D142" s="41"/>
      <c r="E142" s="91">
        <f>-Saldobalance!C147</f>
        <v>-85.650000000023283</v>
      </c>
      <c r="F142" s="41"/>
      <c r="G142" s="91">
        <f>-Saldobalance!D147</f>
        <v>35761.560000000056</v>
      </c>
      <c r="H142" s="104">
        <f>(G142-E142)/E142*100</f>
        <v>-41853.13485112707</v>
      </c>
      <c r="I142" s="4">
        <v>10</v>
      </c>
      <c r="J142" s="41"/>
      <c r="K142" s="91">
        <f>-(K11+K140)</f>
        <v>4227.6277235987363</v>
      </c>
      <c r="L142" s="66">
        <f>(K142-E142)/E142*100</f>
        <v>-5035.9342949183738</v>
      </c>
      <c r="M142" s="4"/>
    </row>
    <row r="143" spans="1:14" ht="13" x14ac:dyDescent="0.3">
      <c r="A143" s="12"/>
      <c r="B143" s="42"/>
      <c r="C143" s="115"/>
      <c r="D143" s="42"/>
      <c r="E143" s="115"/>
      <c r="F143" s="42"/>
      <c r="G143" s="115"/>
      <c r="H143" s="116"/>
      <c r="I143" s="4"/>
      <c r="J143" s="42"/>
      <c r="K143" s="115"/>
      <c r="L143" s="117"/>
      <c r="M143" s="4"/>
    </row>
    <row r="144" spans="1:14" ht="13" x14ac:dyDescent="0.3">
      <c r="A144" s="12"/>
      <c r="B144" s="42"/>
      <c r="C144" s="115"/>
      <c r="D144" s="42"/>
      <c r="E144" s="115"/>
      <c r="F144" s="42"/>
      <c r="G144" s="115"/>
      <c r="H144" s="116"/>
      <c r="I144" s="4"/>
      <c r="J144" s="42"/>
      <c r="K144" s="115"/>
      <c r="L144" s="117"/>
      <c r="M144" s="4"/>
    </row>
    <row r="145" spans="1:15" ht="13" x14ac:dyDescent="0.3">
      <c r="A145" s="12"/>
      <c r="B145" s="1"/>
      <c r="C145" s="12"/>
      <c r="D145" s="1"/>
      <c r="E145" s="12"/>
      <c r="F145" s="1"/>
      <c r="G145" s="12"/>
      <c r="H145" s="4"/>
      <c r="L145" s="4"/>
      <c r="M145" s="4"/>
      <c r="N145" s="3"/>
      <c r="O145" s="3"/>
    </row>
    <row r="146" spans="1:15" s="8" customFormat="1" ht="18" x14ac:dyDescent="0.4">
      <c r="A146" s="113" t="s">
        <v>283</v>
      </c>
      <c r="H146" s="114"/>
      <c r="L146" s="114"/>
      <c r="M146" s="4"/>
    </row>
    <row r="147" spans="1:15" x14ac:dyDescent="0.25">
      <c r="I147" s="4"/>
      <c r="M147" s="4"/>
    </row>
    <row r="148" spans="1:15" ht="13.5" thickBot="1" x14ac:dyDescent="0.35">
      <c r="A148" s="21" t="str">
        <f>Saldobalance!B258</f>
        <v>EGENKAPITAL</v>
      </c>
      <c r="B148" s="41"/>
      <c r="C148" s="110">
        <v>6231122.2000000002</v>
      </c>
      <c r="D148" s="4"/>
      <c r="E148" s="4"/>
      <c r="F148" s="4"/>
      <c r="G148" s="22">
        <f>-Saldobalance!D262</f>
        <v>6182478.5600000005</v>
      </c>
      <c r="I148" s="4">
        <v>11</v>
      </c>
      <c r="M148" s="4"/>
    </row>
    <row r="149" spans="1:15" x14ac:dyDescent="0.25">
      <c r="D149" s="4"/>
      <c r="E149" s="4"/>
      <c r="F149" s="4"/>
      <c r="M149" s="4"/>
    </row>
    <row r="150" spans="1:15" ht="13.5" thickBot="1" x14ac:dyDescent="0.35">
      <c r="A150" s="21" t="str">
        <f>Saldobalance!B265</f>
        <v>Opsparing</v>
      </c>
      <c r="B150" s="41"/>
      <c r="C150" s="91">
        <v>346811.85</v>
      </c>
      <c r="D150" s="4"/>
      <c r="E150" s="4"/>
      <c r="F150" s="4"/>
      <c r="G150" s="91">
        <f>-Saldobalance!D265</f>
        <v>328830.93</v>
      </c>
      <c r="I150" s="4">
        <v>12</v>
      </c>
      <c r="M150" s="4"/>
    </row>
    <row r="151" spans="1:15" x14ac:dyDescent="0.25">
      <c r="D151" s="4"/>
      <c r="E151" s="4"/>
      <c r="F151" s="4"/>
      <c r="M151" s="4"/>
    </row>
    <row r="152" spans="1:15" ht="13.5" thickBot="1" x14ac:dyDescent="0.35">
      <c r="A152" s="21" t="str">
        <f>Saldobalance!B212</f>
        <v>Bakken Bank</v>
      </c>
      <c r="B152" s="41"/>
      <c r="C152" s="91">
        <v>-92964.5</v>
      </c>
      <c r="D152" s="4"/>
      <c r="E152" s="4"/>
      <c r="F152" s="4"/>
      <c r="G152" s="91">
        <f>-Saldobalance!D218</f>
        <v>-55832.299999999996</v>
      </c>
      <c r="I152" s="4">
        <v>13</v>
      </c>
      <c r="M152" s="4"/>
    </row>
    <row r="153" spans="1:15" x14ac:dyDescent="0.25">
      <c r="D153" s="4"/>
      <c r="E153" s="4"/>
      <c r="F153" s="4"/>
      <c r="M153" s="4"/>
    </row>
    <row r="154" spans="1:15" ht="13.5" thickBot="1" x14ac:dyDescent="0.35">
      <c r="A154" s="21" t="s">
        <v>247</v>
      </c>
      <c r="B154" s="41"/>
      <c r="C154" s="91">
        <v>477110.34000000008</v>
      </c>
      <c r="D154" s="4"/>
      <c r="E154" s="4"/>
      <c r="F154" s="4"/>
      <c r="G154" s="91">
        <f>Saldobalance!D251+Saldobalance!D271+Saldobalance!D285+Saldobalance!D280</f>
        <v>511628.19000000018</v>
      </c>
      <c r="I154" s="4">
        <v>14</v>
      </c>
      <c r="M154" s="4"/>
    </row>
    <row r="155" spans="1:15" x14ac:dyDescent="0.25">
      <c r="D155" s="4"/>
      <c r="E155" s="4"/>
      <c r="F155" s="4"/>
      <c r="I155" s="4"/>
      <c r="M155" s="4"/>
    </row>
    <row r="156" spans="1:15" ht="13.5" thickBot="1" x14ac:dyDescent="0.35">
      <c r="A156" s="21" t="s">
        <v>246</v>
      </c>
      <c r="B156" s="41"/>
      <c r="C156" s="22">
        <v>0</v>
      </c>
      <c r="D156" s="4"/>
      <c r="E156" s="4"/>
      <c r="F156" s="4"/>
      <c r="G156" s="22">
        <f>IF(Saldobalance!D280+Saldobalance!D251&lt;0,-(Saldobalance!D280+Saldobalance!D251),0)</f>
        <v>0</v>
      </c>
      <c r="I156" s="4">
        <v>15</v>
      </c>
      <c r="M156" s="4"/>
    </row>
    <row r="157" spans="1:15" x14ac:dyDescent="0.25">
      <c r="D157" s="4"/>
      <c r="E157" s="4"/>
      <c r="F157" s="4"/>
      <c r="I157" s="4"/>
      <c r="M157" s="4"/>
    </row>
    <row r="158" spans="1:15" ht="13.5" thickBot="1" x14ac:dyDescent="0.35">
      <c r="A158" s="21" t="str">
        <f>Saldobalance!B231</f>
        <v>Tilgodehavender hos Bofæller</v>
      </c>
      <c r="B158" s="41"/>
      <c r="C158" s="22">
        <v>15935.64</v>
      </c>
      <c r="D158" s="4"/>
      <c r="E158" s="4"/>
      <c r="F158" s="4"/>
      <c r="G158" s="22">
        <f>Saldobalance!D231</f>
        <v>24415.48</v>
      </c>
      <c r="I158" s="4">
        <v>16</v>
      </c>
      <c r="M158" s="4"/>
    </row>
    <row r="159" spans="1:15" ht="13" x14ac:dyDescent="0.3">
      <c r="A159" s="12"/>
      <c r="B159" s="42"/>
      <c r="C159" s="42"/>
      <c r="D159" s="42"/>
      <c r="E159" s="42"/>
      <c r="F159" s="42"/>
      <c r="G159" s="42"/>
      <c r="H159" s="42"/>
      <c r="I159" s="4"/>
      <c r="M159" s="4"/>
    </row>
    <row r="160" spans="1:15" ht="17.5" x14ac:dyDescent="0.35">
      <c r="I160" s="4"/>
      <c r="M160" s="4"/>
      <c r="N160" s="65"/>
    </row>
    <row r="161" spans="1:15" ht="13" x14ac:dyDescent="0.3">
      <c r="A161" s="12"/>
      <c r="B161" s="1"/>
      <c r="C161" s="12"/>
      <c r="D161" s="1"/>
      <c r="E161" s="12"/>
      <c r="F161" s="1"/>
      <c r="G161" s="12"/>
      <c r="H161" s="4"/>
      <c r="L161" s="4"/>
      <c r="M161" s="4"/>
      <c r="N161" s="3"/>
      <c r="O161" s="3"/>
    </row>
    <row r="162" spans="1:15" s="8" customFormat="1" ht="18" x14ac:dyDescent="0.4">
      <c r="A162" s="113" t="s">
        <v>324</v>
      </c>
      <c r="H162" s="114"/>
      <c r="L162" s="114"/>
      <c r="M162" s="4"/>
    </row>
    <row r="163" spans="1:15" ht="18" thickBot="1" x14ac:dyDescent="0.4">
      <c r="I163" s="4"/>
      <c r="M163" s="4"/>
      <c r="O163" s="65"/>
    </row>
    <row r="164" spans="1:15" ht="13.5" thickBot="1" x14ac:dyDescent="0.35">
      <c r="A164" s="23" t="str">
        <f>Saldobalance!B151</f>
        <v>Vaskeriet</v>
      </c>
      <c r="B164" s="27" t="str">
        <f>$B$5</f>
        <v xml:space="preserve">Regnskab </v>
      </c>
      <c r="C164" s="28">
        <f>$C$5</f>
        <v>2015</v>
      </c>
      <c r="D164" s="27"/>
      <c r="E164" s="28"/>
      <c r="F164" s="27" t="str">
        <f>$F$5</f>
        <v xml:space="preserve">Regnskab </v>
      </c>
      <c r="G164" s="28">
        <f>$G$5</f>
        <v>2016</v>
      </c>
      <c r="H164" s="4"/>
      <c r="L164" s="4"/>
      <c r="M164" s="4"/>
    </row>
    <row r="165" spans="1:15" x14ac:dyDescent="0.25">
      <c r="A165" s="18"/>
      <c r="B165" s="47" t="s">
        <v>181</v>
      </c>
      <c r="C165" s="48" t="s">
        <v>27</v>
      </c>
      <c r="D165" s="47"/>
      <c r="E165" s="48"/>
      <c r="F165" s="47" t="s">
        <v>181</v>
      </c>
      <c r="G165" s="48" t="s">
        <v>27</v>
      </c>
      <c r="H165" s="4"/>
      <c r="L165" s="4"/>
      <c r="M165" s="4"/>
    </row>
    <row r="166" spans="1:15" x14ac:dyDescent="0.25">
      <c r="A166" s="29" t="s">
        <v>3</v>
      </c>
      <c r="B166" s="32"/>
      <c r="C166" s="33"/>
      <c r="D166" s="32"/>
      <c r="E166" s="33"/>
      <c r="F166" s="32"/>
      <c r="G166" s="33"/>
      <c r="H166" s="4"/>
      <c r="L166" s="4"/>
      <c r="M166" s="4"/>
    </row>
    <row r="167" spans="1:15" x14ac:dyDescent="0.25">
      <c r="A167" s="10" t="str">
        <f>Saldobalance!B152</f>
        <v>Vask opkrævet</v>
      </c>
      <c r="B167" s="55"/>
      <c r="C167" s="11">
        <v>-45984.54</v>
      </c>
      <c r="D167" s="55"/>
      <c r="E167" s="11"/>
      <c r="F167" s="55"/>
      <c r="G167" s="11">
        <f>Saldobalance!D152</f>
        <v>-37901.96</v>
      </c>
      <c r="H167" s="4"/>
      <c r="L167" s="4"/>
      <c r="M167" s="4"/>
    </row>
    <row r="168" spans="1:15" x14ac:dyDescent="0.25">
      <c r="A168" s="10" t="str">
        <f>Saldobalance!B153</f>
        <v>Vask Fælleshuset</v>
      </c>
      <c r="B168" s="55"/>
      <c r="C168" s="11">
        <v>-1971.96</v>
      </c>
      <c r="D168" s="55"/>
      <c r="E168" s="11"/>
      <c r="F168" s="55"/>
      <c r="G168" s="11">
        <f>Saldobalance!D153</f>
        <v>-2844.67</v>
      </c>
      <c r="H168" s="4"/>
      <c r="L168" s="4"/>
      <c r="M168" s="4"/>
    </row>
    <row r="169" spans="1:15" x14ac:dyDescent="0.25">
      <c r="A169" s="10" t="str">
        <f>Saldobalance!B154</f>
        <v>Vaskemidler</v>
      </c>
      <c r="B169" s="55">
        <v>26555.5</v>
      </c>
      <c r="C169" s="11"/>
      <c r="D169" s="55"/>
      <c r="E169" s="11"/>
      <c r="F169" s="55">
        <f>Saldobalance!D154</f>
        <v>24188.29</v>
      </c>
      <c r="G169" s="11"/>
      <c r="H169" s="4"/>
      <c r="L169" s="4"/>
      <c r="M169" s="4"/>
    </row>
    <row r="170" spans="1:15" x14ac:dyDescent="0.25">
      <c r="A170" s="10" t="str">
        <f>Saldobalance!B155</f>
        <v>EL</v>
      </c>
      <c r="B170" s="55">
        <v>2521</v>
      </c>
      <c r="C170" s="11"/>
      <c r="D170" s="55"/>
      <c r="E170" s="11"/>
      <c r="F170" s="55">
        <f>Saldobalance!D155</f>
        <v>2517</v>
      </c>
      <c r="G170" s="11"/>
      <c r="H170" s="4"/>
      <c r="L170" s="4"/>
      <c r="M170" s="4"/>
    </row>
    <row r="171" spans="1:15" x14ac:dyDescent="0.25">
      <c r="A171" s="10" t="str">
        <f>Saldobalance!B156</f>
        <v>Gas</v>
      </c>
      <c r="B171" s="55">
        <v>6938</v>
      </c>
      <c r="C171" s="11"/>
      <c r="D171" s="55"/>
      <c r="E171" s="11"/>
      <c r="F171" s="55">
        <f>Saldobalance!D156</f>
        <v>2931</v>
      </c>
      <c r="G171" s="11"/>
      <c r="H171" s="4"/>
      <c r="L171" s="4"/>
      <c r="M171" s="4"/>
    </row>
    <row r="172" spans="1:15" x14ac:dyDescent="0.25">
      <c r="A172" s="10" t="str">
        <f>Saldobalance!B157</f>
        <v>Vand</v>
      </c>
      <c r="B172" s="55">
        <v>11942</v>
      </c>
      <c r="C172" s="11"/>
      <c r="D172" s="55"/>
      <c r="E172" s="11"/>
      <c r="F172" s="55">
        <f>Saldobalance!D157</f>
        <v>11003</v>
      </c>
      <c r="G172" s="11"/>
      <c r="H172" s="4"/>
      <c r="L172" s="4"/>
      <c r="M172" s="4"/>
    </row>
    <row r="173" spans="1:15" x14ac:dyDescent="0.25">
      <c r="A173" s="10" t="str">
        <f>Saldobalance!B158</f>
        <v>Salttabletter</v>
      </c>
      <c r="B173" s="55">
        <v>0</v>
      </c>
      <c r="C173" s="11"/>
      <c r="D173" s="55"/>
      <c r="E173" s="11"/>
      <c r="F173" s="55">
        <f>Saldobalance!D158</f>
        <v>107.3</v>
      </c>
      <c r="G173" s="11"/>
      <c r="H173" s="4"/>
      <c r="L173" s="4"/>
      <c r="M173" s="4"/>
    </row>
    <row r="174" spans="1:15" ht="13.5" thickBot="1" x14ac:dyDescent="0.35">
      <c r="A174" s="21" t="str">
        <f>Saldobalance!B159</f>
        <v>Vaskeriet i alt</v>
      </c>
      <c r="B174" s="37"/>
      <c r="C174" s="7">
        <v>0</v>
      </c>
      <c r="D174" s="37"/>
      <c r="E174" s="7"/>
      <c r="F174" s="37"/>
      <c r="G174" s="7">
        <f>Saldobalance!D159</f>
        <v>-3.9999999996510383E-2</v>
      </c>
      <c r="H174" s="4"/>
      <c r="L174" s="4"/>
      <c r="M174" s="4"/>
    </row>
    <row r="175" spans="1:15" x14ac:dyDescent="0.25">
      <c r="M175" s="4"/>
    </row>
    <row r="176" spans="1:15" ht="13" thickBot="1" x14ac:dyDescent="0.3">
      <c r="H176" s="4"/>
      <c r="L176" s="4"/>
      <c r="M176" s="4"/>
    </row>
    <row r="177" spans="1:15" ht="13.5" thickBot="1" x14ac:dyDescent="0.35">
      <c r="A177" s="23" t="str">
        <f>Saldobalance!B175</f>
        <v>Renovation</v>
      </c>
      <c r="B177" s="27" t="str">
        <f>$B$5</f>
        <v xml:space="preserve">Regnskab </v>
      </c>
      <c r="C177" s="28">
        <f>$C$5</f>
        <v>2015</v>
      </c>
      <c r="D177" s="27"/>
      <c r="E177" s="28"/>
      <c r="F177" s="27" t="str">
        <f>$F$5</f>
        <v xml:space="preserve">Regnskab </v>
      </c>
      <c r="G177" s="28">
        <f>$G$5</f>
        <v>2016</v>
      </c>
      <c r="H177" s="4"/>
      <c r="L177" s="4"/>
      <c r="M177" s="4"/>
    </row>
    <row r="178" spans="1:15" x14ac:dyDescent="0.25">
      <c r="A178" s="18"/>
      <c r="B178" s="47" t="s">
        <v>181</v>
      </c>
      <c r="C178" s="48" t="s">
        <v>27</v>
      </c>
      <c r="D178" s="47"/>
      <c r="E178" s="48"/>
      <c r="F178" s="47" t="s">
        <v>181</v>
      </c>
      <c r="G178" s="48" t="s">
        <v>27</v>
      </c>
      <c r="H178" s="4"/>
      <c r="L178" s="4"/>
      <c r="M178" s="4"/>
    </row>
    <row r="179" spans="1:15" x14ac:dyDescent="0.25">
      <c r="A179" s="29" t="s">
        <v>3</v>
      </c>
      <c r="B179" s="32"/>
      <c r="C179" s="33"/>
      <c r="D179" s="32"/>
      <c r="E179" s="33"/>
      <c r="F179" s="32"/>
      <c r="G179" s="33"/>
      <c r="H179" s="4"/>
      <c r="L179" s="4"/>
      <c r="M179" s="4"/>
    </row>
    <row r="180" spans="1:15" x14ac:dyDescent="0.25">
      <c r="A180" s="10" t="str">
        <f>Saldobalance!B176</f>
        <v>Renovation opkrævet</v>
      </c>
      <c r="B180" s="55"/>
      <c r="C180" s="11">
        <v>-64297.05</v>
      </c>
      <c r="D180" s="55"/>
      <c r="E180" s="11"/>
      <c r="F180" s="55"/>
      <c r="G180" s="11">
        <f>Saldobalance!D176</f>
        <v>-67748.84</v>
      </c>
      <c r="H180" s="4"/>
      <c r="L180" s="4"/>
      <c r="M180" s="4"/>
    </row>
    <row r="181" spans="1:15" x14ac:dyDescent="0.25">
      <c r="A181" s="10" t="str">
        <f>Saldobalance!B177</f>
        <v>Renovation Fælleshuset</v>
      </c>
      <c r="B181" s="55"/>
      <c r="C181" s="11">
        <v>-11699.66</v>
      </c>
      <c r="D181" s="55"/>
      <c r="E181" s="11"/>
      <c r="F181" s="55"/>
      <c r="G181" s="11">
        <f>Saldobalance!D177</f>
        <v>-11093.79</v>
      </c>
      <c r="H181" s="4"/>
      <c r="L181" s="4"/>
      <c r="M181" s="4"/>
    </row>
    <row r="182" spans="1:15" x14ac:dyDescent="0.25">
      <c r="A182" s="10" t="str">
        <f>Saldobalance!B178</f>
        <v>Renovation Fredensborg Forsyning</v>
      </c>
      <c r="B182" s="55">
        <v>75996.710000000006</v>
      </c>
      <c r="C182" s="11"/>
      <c r="D182" s="55"/>
      <c r="E182" s="11"/>
      <c r="F182" s="55">
        <f>Saldobalance!D178</f>
        <v>78842.63</v>
      </c>
      <c r="G182" s="11"/>
      <c r="H182" s="4"/>
      <c r="L182" s="4"/>
      <c r="M182" s="4"/>
    </row>
    <row r="183" spans="1:15" ht="13.5" thickBot="1" x14ac:dyDescent="0.35">
      <c r="A183" s="21" t="str">
        <f>Saldobalance!B179</f>
        <v>Renovation i alt</v>
      </c>
      <c r="B183" s="41"/>
      <c r="C183" s="22">
        <v>0</v>
      </c>
      <c r="D183" s="41"/>
      <c r="E183" s="22"/>
      <c r="F183" s="41"/>
      <c r="G183" s="22">
        <f>Saldobalance!D179</f>
        <v>0</v>
      </c>
      <c r="H183" s="4"/>
      <c r="L183" s="4"/>
      <c r="M183" s="4"/>
    </row>
    <row r="184" spans="1:15" x14ac:dyDescent="0.25">
      <c r="H184" s="4"/>
      <c r="L184" s="4"/>
      <c r="M184" s="4"/>
    </row>
    <row r="185" spans="1:15" ht="13" thickBot="1" x14ac:dyDescent="0.3">
      <c r="H185" s="4"/>
      <c r="L185" s="4"/>
      <c r="M185" s="4"/>
    </row>
    <row r="186" spans="1:15" ht="13.5" thickBot="1" x14ac:dyDescent="0.35">
      <c r="A186" s="23" t="str">
        <f>Saldobalance!B181</f>
        <v>TV</v>
      </c>
      <c r="B186" s="27" t="str">
        <f>$B$5</f>
        <v xml:space="preserve">Regnskab </v>
      </c>
      <c r="C186" s="28">
        <f>$C$5</f>
        <v>2015</v>
      </c>
      <c r="D186" s="27"/>
      <c r="E186" s="28"/>
      <c r="F186" s="27" t="str">
        <f>$F$5</f>
        <v xml:space="preserve">Regnskab </v>
      </c>
      <c r="G186" s="28">
        <f>$G$5</f>
        <v>2016</v>
      </c>
      <c r="H186" s="4"/>
      <c r="L186" s="4"/>
      <c r="M186" s="4"/>
    </row>
    <row r="187" spans="1:15" x14ac:dyDescent="0.25">
      <c r="A187" s="18"/>
      <c r="B187" s="47" t="s">
        <v>181</v>
      </c>
      <c r="C187" s="48" t="s">
        <v>27</v>
      </c>
      <c r="D187" s="47"/>
      <c r="E187" s="48"/>
      <c r="F187" s="47" t="s">
        <v>181</v>
      </c>
      <c r="G187" s="48" t="s">
        <v>27</v>
      </c>
      <c r="H187" s="4"/>
      <c r="L187" s="4"/>
      <c r="M187" s="4"/>
    </row>
    <row r="188" spans="1:15" x14ac:dyDescent="0.25">
      <c r="A188" s="29" t="s">
        <v>3</v>
      </c>
      <c r="B188" s="32"/>
      <c r="C188" s="33"/>
      <c r="D188" s="32"/>
      <c r="E188" s="33"/>
      <c r="F188" s="32"/>
      <c r="G188" s="33"/>
      <c r="H188" s="4"/>
      <c r="L188" s="4"/>
      <c r="M188" s="4"/>
    </row>
    <row r="189" spans="1:15" x14ac:dyDescent="0.25">
      <c r="A189" s="10" t="str">
        <f>Saldobalance!B182</f>
        <v>TV opkrævet</v>
      </c>
      <c r="B189" s="55"/>
      <c r="C189" s="11">
        <v>-74582.789999999994</v>
      </c>
      <c r="D189" s="55"/>
      <c r="E189" s="11"/>
      <c r="F189" s="55"/>
      <c r="G189" s="11">
        <f>Saldobalance!D182</f>
        <v>-69718.22</v>
      </c>
      <c r="H189" s="4"/>
      <c r="L189" s="4"/>
      <c r="M189" s="4"/>
    </row>
    <row r="190" spans="1:15" x14ac:dyDescent="0.25">
      <c r="A190" s="10" t="str">
        <f>Saldobalance!B183</f>
        <v>TV Fælleshuset</v>
      </c>
      <c r="B190" s="55"/>
      <c r="C190" s="11">
        <v>-5034.0600000000004</v>
      </c>
      <c r="D190" s="55"/>
      <c r="E190" s="11"/>
      <c r="F190" s="55"/>
      <c r="G190" s="11">
        <f>Saldobalance!D183</f>
        <v>-5122.32</v>
      </c>
      <c r="H190" s="4"/>
      <c r="I190" s="3"/>
      <c r="J190" s="3"/>
      <c r="L190" s="4"/>
      <c r="M190" s="4"/>
    </row>
    <row r="191" spans="1:15" s="3" customFormat="1" x14ac:dyDescent="0.25">
      <c r="A191" s="10" t="str">
        <f>Saldobalance!B184</f>
        <v>YouSee og andre</v>
      </c>
      <c r="B191" s="54">
        <v>79616.850000000006</v>
      </c>
      <c r="C191" s="11"/>
      <c r="D191" s="54"/>
      <c r="E191" s="11"/>
      <c r="F191" s="54">
        <f>Saldobalance!D184</f>
        <v>74831.199999999997</v>
      </c>
      <c r="G191" s="11"/>
      <c r="H191" s="4"/>
      <c r="I191" s="4"/>
      <c r="J191" s="20"/>
      <c r="L191" s="4"/>
      <c r="M191" s="4"/>
      <c r="N191" s="20"/>
      <c r="O191" s="20"/>
    </row>
    <row r="192" spans="1:15" ht="13.5" thickBot="1" x14ac:dyDescent="0.35">
      <c r="A192" s="21" t="str">
        <f>Saldobalance!B185</f>
        <v>TV i alt</v>
      </c>
      <c r="B192" s="37"/>
      <c r="C192" s="7">
        <v>0</v>
      </c>
      <c r="D192" s="37"/>
      <c r="E192" s="7"/>
      <c r="F192" s="37"/>
      <c r="G192" s="7">
        <f>Saldobalance!D185</f>
        <v>-9.3400000000110595</v>
      </c>
      <c r="H192" s="4"/>
      <c r="I192" s="4"/>
      <c r="L192" s="4"/>
      <c r="M192" s="4"/>
      <c r="N192" s="3"/>
      <c r="O192" s="3"/>
    </row>
    <row r="193" spans="1:15" x14ac:dyDescent="0.25">
      <c r="H193" s="4"/>
      <c r="L193" s="4"/>
      <c r="M193" s="4"/>
    </row>
    <row r="194" spans="1:15" ht="13" thickBot="1" x14ac:dyDescent="0.3">
      <c r="H194" s="4"/>
      <c r="L194" s="4"/>
      <c r="M194" s="4"/>
    </row>
    <row r="195" spans="1:15" ht="13.5" thickBot="1" x14ac:dyDescent="0.35">
      <c r="A195" s="23" t="str">
        <f>Saldobalance!B200</f>
        <v>Deltagerbetalte arrangementer</v>
      </c>
      <c r="B195" s="27" t="str">
        <f>$B$5</f>
        <v xml:space="preserve">Regnskab </v>
      </c>
      <c r="C195" s="28">
        <f>$C$5</f>
        <v>2015</v>
      </c>
      <c r="D195" s="27"/>
      <c r="E195" s="28"/>
      <c r="F195" s="27" t="str">
        <f>$F$5</f>
        <v xml:space="preserve">Regnskab </v>
      </c>
      <c r="G195" s="28">
        <f>$G$5</f>
        <v>2016</v>
      </c>
      <c r="H195" s="4"/>
      <c r="L195" s="4"/>
      <c r="M195" s="4"/>
    </row>
    <row r="196" spans="1:15" x14ac:dyDescent="0.25">
      <c r="A196" s="18"/>
      <c r="B196" s="47" t="s">
        <v>181</v>
      </c>
      <c r="C196" s="48" t="s">
        <v>27</v>
      </c>
      <c r="D196" s="47"/>
      <c r="E196" s="48"/>
      <c r="F196" s="47" t="s">
        <v>181</v>
      </c>
      <c r="G196" s="48" t="s">
        <v>27</v>
      </c>
      <c r="H196" s="4"/>
      <c r="L196" s="4"/>
      <c r="M196" s="4"/>
    </row>
    <row r="197" spans="1:15" x14ac:dyDescent="0.25">
      <c r="A197" s="29" t="s">
        <v>3</v>
      </c>
      <c r="B197" s="32"/>
      <c r="C197" s="33"/>
      <c r="D197" s="32"/>
      <c r="E197" s="33"/>
      <c r="F197" s="32"/>
      <c r="G197" s="33"/>
      <c r="H197" s="4"/>
      <c r="L197" s="4"/>
      <c r="M197" s="4"/>
    </row>
    <row r="198" spans="1:15" x14ac:dyDescent="0.25">
      <c r="A198" s="10" t="str">
        <f>Saldobalance!B201</f>
        <v>Kultur opkrævet</v>
      </c>
      <c r="B198" s="55"/>
      <c r="C198" s="11">
        <v>-16516.45</v>
      </c>
      <c r="D198" s="55"/>
      <c r="E198" s="11"/>
      <c r="F198" s="55"/>
      <c r="G198" s="11">
        <f>Saldobalance!D201</f>
        <v>-9882.6200000000008</v>
      </c>
      <c r="H198" s="4"/>
      <c r="I198" s="3"/>
      <c r="J198" s="3"/>
      <c r="L198" s="4"/>
      <c r="M198" s="4"/>
    </row>
    <row r="199" spans="1:15" x14ac:dyDescent="0.25">
      <c r="A199" s="10" t="str">
        <f>Saldobalance!B202</f>
        <v>Kultur Fælleshuset</v>
      </c>
      <c r="B199" s="55"/>
      <c r="C199" s="11">
        <v>101</v>
      </c>
      <c r="D199" s="55"/>
      <c r="E199" s="11"/>
      <c r="F199" s="55"/>
      <c r="G199" s="11">
        <f>Saldobalance!D202</f>
        <v>-870</v>
      </c>
      <c r="H199" s="4"/>
      <c r="I199" s="3"/>
      <c r="J199" s="3"/>
      <c r="L199" s="4"/>
      <c r="M199" s="4"/>
    </row>
    <row r="200" spans="1:15" s="3" customFormat="1" x14ac:dyDescent="0.25">
      <c r="A200" s="10" t="str">
        <f>Saldobalance!B203</f>
        <v>Kultur udlæg</v>
      </c>
      <c r="B200" s="54">
        <v>16415.45</v>
      </c>
      <c r="C200" s="11"/>
      <c r="D200" s="54"/>
      <c r="E200" s="11"/>
      <c r="F200" s="54">
        <f>Saldobalance!D203</f>
        <v>10756.85</v>
      </c>
      <c r="G200" s="11"/>
      <c r="H200" s="4"/>
      <c r="I200" s="20"/>
      <c r="J200" s="20"/>
      <c r="L200" s="4"/>
      <c r="M200" s="4"/>
      <c r="N200" s="20"/>
      <c r="O200" s="20"/>
    </row>
    <row r="201" spans="1:15" ht="13.5" thickBot="1" x14ac:dyDescent="0.35">
      <c r="A201" s="21" t="str">
        <f>Saldobalance!B204</f>
        <v>Deltagerbetalte arrangementer i alt</v>
      </c>
      <c r="B201" s="37"/>
      <c r="C201" s="7">
        <v>0</v>
      </c>
      <c r="D201" s="37"/>
      <c r="E201" s="7"/>
      <c r="F201" s="37"/>
      <c r="G201" s="7">
        <f>Saldobalance!D204</f>
        <v>4.2299999999995634</v>
      </c>
      <c r="H201" s="4"/>
      <c r="L201" s="4"/>
      <c r="M201" s="4"/>
      <c r="N201" s="3"/>
      <c r="O201" s="3"/>
    </row>
    <row r="202" spans="1:15" x14ac:dyDescent="0.25">
      <c r="H202" s="4"/>
      <c r="L202" s="4"/>
      <c r="M202" s="4"/>
    </row>
    <row r="203" spans="1:15" ht="13" thickBot="1" x14ac:dyDescent="0.3">
      <c r="H203" s="4"/>
      <c r="L203" s="4"/>
      <c r="M203" s="4"/>
    </row>
    <row r="204" spans="1:15" ht="13.5" thickBot="1" x14ac:dyDescent="0.35">
      <c r="A204" s="23" t="str">
        <f>Saldobalance!B187</f>
        <v>Fadøl</v>
      </c>
      <c r="B204" s="27" t="str">
        <f>$B$5</f>
        <v xml:space="preserve">Regnskab </v>
      </c>
      <c r="C204" s="28">
        <f>$C$5</f>
        <v>2015</v>
      </c>
      <c r="D204" s="27"/>
      <c r="E204" s="28"/>
      <c r="F204" s="27" t="str">
        <f>$F$5</f>
        <v xml:space="preserve">Regnskab </v>
      </c>
      <c r="G204" s="28">
        <f>$G$5</f>
        <v>2016</v>
      </c>
      <c r="H204" s="4"/>
      <c r="L204" s="4"/>
      <c r="M204" s="4"/>
    </row>
    <row r="205" spans="1:15" x14ac:dyDescent="0.25">
      <c r="A205" s="18"/>
      <c r="B205" s="47" t="s">
        <v>181</v>
      </c>
      <c r="C205" s="48" t="s">
        <v>27</v>
      </c>
      <c r="D205" s="47"/>
      <c r="E205" s="48"/>
      <c r="F205" s="47" t="s">
        <v>181</v>
      </c>
      <c r="G205" s="48" t="s">
        <v>27</v>
      </c>
      <c r="H205" s="4"/>
      <c r="L205" s="4"/>
      <c r="M205" s="4"/>
    </row>
    <row r="206" spans="1:15" x14ac:dyDescent="0.25">
      <c r="A206" s="29" t="s">
        <v>3</v>
      </c>
      <c r="B206" s="32"/>
      <c r="C206" s="33"/>
      <c r="D206" s="32"/>
      <c r="E206" s="33"/>
      <c r="F206" s="32"/>
      <c r="G206" s="33"/>
      <c r="H206" s="4"/>
      <c r="L206" s="4"/>
      <c r="M206" s="4"/>
    </row>
    <row r="207" spans="1:15" x14ac:dyDescent="0.25">
      <c r="A207" s="10" t="str">
        <f>Saldobalance!B188</f>
        <v>Øl fustager opkrævet</v>
      </c>
      <c r="B207" s="55"/>
      <c r="C207" s="11">
        <v>-10600</v>
      </c>
      <c r="D207" s="55"/>
      <c r="E207" s="11"/>
      <c r="F207" s="55"/>
      <c r="G207" s="11">
        <f>Saldobalance!D188</f>
        <v>-8205</v>
      </c>
      <c r="H207" s="4"/>
      <c r="L207" s="4"/>
      <c r="M207" s="4"/>
    </row>
    <row r="208" spans="1:15" x14ac:dyDescent="0.25">
      <c r="A208" s="10" t="str">
        <f>Saldobalance!B189</f>
        <v>Øl fustager Fælleshuset</v>
      </c>
      <c r="B208" s="55"/>
      <c r="C208" s="11">
        <v>-6700</v>
      </c>
      <c r="D208" s="55"/>
      <c r="E208" s="11"/>
      <c r="F208" s="55"/>
      <c r="G208" s="11">
        <f>Saldobalance!D189</f>
        <v>-6845</v>
      </c>
      <c r="H208" s="4"/>
      <c r="I208" s="3"/>
      <c r="J208" s="3"/>
      <c r="L208" s="4"/>
      <c r="M208" s="4"/>
    </row>
    <row r="209" spans="1:15" x14ac:dyDescent="0.25">
      <c r="A209" s="10" t="str">
        <f>Saldobalance!B190</f>
        <v>Regulering af lagerbeholdning</v>
      </c>
      <c r="B209" s="55">
        <v>-2818</v>
      </c>
      <c r="C209" s="11"/>
      <c r="D209" s="55"/>
      <c r="E209" s="11"/>
      <c r="F209" s="55">
        <f>Saldobalance!D190</f>
        <v>1533</v>
      </c>
      <c r="G209" s="11"/>
      <c r="H209" s="4"/>
      <c r="I209" s="3"/>
      <c r="J209" s="3"/>
      <c r="L209" s="4"/>
      <c r="M209" s="4"/>
    </row>
    <row r="210" spans="1:15" s="3" customFormat="1" x14ac:dyDescent="0.25">
      <c r="A210" s="10" t="str">
        <f>Saldobalance!B191</f>
        <v>Tuborg og andre</v>
      </c>
      <c r="B210" s="55">
        <v>19921.7</v>
      </c>
      <c r="C210" s="11"/>
      <c r="D210" s="54"/>
      <c r="E210" s="11"/>
      <c r="F210" s="54">
        <f>Saldobalance!D191</f>
        <v>12831.6</v>
      </c>
      <c r="G210" s="11"/>
      <c r="H210" s="4"/>
      <c r="I210" s="20"/>
      <c r="J210" s="20"/>
      <c r="L210" s="4"/>
      <c r="M210" s="4"/>
      <c r="N210" s="20"/>
      <c r="O210" s="20"/>
    </row>
    <row r="211" spans="1:15" ht="13.5" thickBot="1" x14ac:dyDescent="0.35">
      <c r="A211" s="21" t="str">
        <f>Saldobalance!B192</f>
        <v>Fadøl i alt</v>
      </c>
      <c r="B211" s="37"/>
      <c r="C211" s="7">
        <v>-196.29999999999927</v>
      </c>
      <c r="D211" s="37"/>
      <c r="E211" s="7"/>
      <c r="F211" s="37"/>
      <c r="G211" s="7">
        <f>Saldobalance!D192</f>
        <v>-685.39999999999964</v>
      </c>
      <c r="H211" s="4"/>
      <c r="L211" s="4"/>
      <c r="M211" s="4"/>
      <c r="N211" s="3"/>
      <c r="O211" s="3"/>
    </row>
    <row r="212" spans="1:15" ht="13" x14ac:dyDescent="0.3">
      <c r="A212" s="12"/>
      <c r="B212" s="1"/>
      <c r="C212" s="12"/>
      <c r="D212" s="1"/>
      <c r="E212" s="12"/>
      <c r="F212" s="1"/>
      <c r="G212" s="12"/>
      <c r="H212" s="4"/>
      <c r="L212" s="4"/>
      <c r="M212" s="4"/>
      <c r="N212" s="3"/>
      <c r="O212" s="3"/>
    </row>
    <row r="213" spans="1:15" ht="13" x14ac:dyDescent="0.3">
      <c r="A213" s="12"/>
      <c r="B213" s="1"/>
      <c r="C213" s="12"/>
      <c r="D213" s="1"/>
      <c r="E213" s="12"/>
      <c r="F213" s="1"/>
      <c r="G213" s="12"/>
      <c r="H213" s="4"/>
      <c r="L213" s="4"/>
      <c r="M213" s="4"/>
      <c r="N213" s="3"/>
      <c r="O213" s="3"/>
    </row>
    <row r="214" spans="1:15" s="8" customFormat="1" ht="18" x14ac:dyDescent="0.4">
      <c r="A214" s="113" t="s">
        <v>282</v>
      </c>
      <c r="H214" s="114"/>
      <c r="L214" s="114"/>
      <c r="M214" s="4"/>
    </row>
    <row r="215" spans="1:15" ht="13" thickBot="1" x14ac:dyDescent="0.3">
      <c r="H215" s="4"/>
      <c r="L215" s="4"/>
      <c r="M215" s="4"/>
    </row>
    <row r="216" spans="1:15" ht="13.5" thickBot="1" x14ac:dyDescent="0.35">
      <c r="A216" s="23" t="str">
        <f>Saldobalance!B161</f>
        <v>Vand</v>
      </c>
      <c r="B216" s="27" t="str">
        <f>$B$5</f>
        <v xml:space="preserve">Regnskab </v>
      </c>
      <c r="C216" s="28">
        <f>$C$5</f>
        <v>2015</v>
      </c>
      <c r="D216" s="27"/>
      <c r="E216" s="28"/>
      <c r="F216" s="27" t="str">
        <f>$F$5</f>
        <v xml:space="preserve">Regnskab </v>
      </c>
      <c r="G216" s="28">
        <f>$G$5</f>
        <v>2016</v>
      </c>
      <c r="H216" s="4"/>
      <c r="L216" s="4"/>
      <c r="M216" s="4"/>
    </row>
    <row r="217" spans="1:15" x14ac:dyDescent="0.25">
      <c r="A217" s="18"/>
      <c r="B217" s="47" t="s">
        <v>181</v>
      </c>
      <c r="C217" s="48" t="s">
        <v>27</v>
      </c>
      <c r="D217" s="47"/>
      <c r="E217" s="48"/>
      <c r="F217" s="47" t="s">
        <v>181</v>
      </c>
      <c r="G217" s="48" t="s">
        <v>27</v>
      </c>
      <c r="H217" s="4"/>
      <c r="L217" s="4"/>
      <c r="M217" s="4"/>
    </row>
    <row r="218" spans="1:15" x14ac:dyDescent="0.25">
      <c r="A218" s="29" t="s">
        <v>3</v>
      </c>
      <c r="B218" s="32"/>
      <c r="C218" s="33"/>
      <c r="D218" s="32"/>
      <c r="E218" s="33"/>
      <c r="F218" s="32"/>
      <c r="G218" s="33"/>
      <c r="H218" s="4"/>
      <c r="L218" s="4"/>
      <c r="M218" s="4"/>
    </row>
    <row r="219" spans="1:15" x14ac:dyDescent="0.25">
      <c r="A219" s="10" t="str">
        <f>Saldobalance!B162</f>
        <v>Vand opkrævet</v>
      </c>
      <c r="B219" s="55"/>
      <c r="C219" s="11">
        <v>-156231</v>
      </c>
      <c r="D219" s="55"/>
      <c r="E219" s="11"/>
      <c r="F219" s="55"/>
      <c r="G219" s="11">
        <f>Saldobalance!D162</f>
        <v>-107746</v>
      </c>
      <c r="H219" s="4"/>
      <c r="L219" s="4"/>
      <c r="M219" s="4"/>
    </row>
    <row r="220" spans="1:15" x14ac:dyDescent="0.25">
      <c r="A220" s="10" t="str">
        <f>Saldobalance!B163</f>
        <v>Vand Fælleshuset</v>
      </c>
      <c r="B220" s="55"/>
      <c r="C220" s="11">
        <v>-11728</v>
      </c>
      <c r="D220" s="55"/>
      <c r="E220" s="11"/>
      <c r="F220" s="55"/>
      <c r="G220" s="11">
        <f>Saldobalance!D163</f>
        <v>-23392</v>
      </c>
      <c r="H220" s="4"/>
      <c r="I220" s="3"/>
      <c r="J220" s="3"/>
      <c r="L220" s="4"/>
      <c r="M220" s="4"/>
    </row>
    <row r="221" spans="1:15" s="3" customFormat="1" x14ac:dyDescent="0.25">
      <c r="A221" s="10" t="str">
        <f>Saldobalance!B164</f>
        <v>Vand vaskeriet</v>
      </c>
      <c r="B221" s="54"/>
      <c r="C221" s="11">
        <v>-11942</v>
      </c>
      <c r="D221" s="54"/>
      <c r="E221" s="11"/>
      <c r="F221" s="55"/>
      <c r="G221" s="11">
        <f>Saldobalance!D164</f>
        <v>-11003</v>
      </c>
      <c r="H221" s="4"/>
      <c r="I221" s="20"/>
      <c r="J221" s="20"/>
      <c r="L221" s="4"/>
      <c r="M221" s="4"/>
      <c r="N221" s="20"/>
      <c r="O221" s="20"/>
    </row>
    <row r="222" spans="1:15" x14ac:dyDescent="0.25">
      <c r="A222" s="10" t="str">
        <f>Saldobalance!B165</f>
        <v>Vand Fredensborg Forsyning</v>
      </c>
      <c r="B222" s="55">
        <v>168392.02</v>
      </c>
      <c r="C222" s="11"/>
      <c r="D222" s="55"/>
      <c r="E222" s="11"/>
      <c r="F222" s="55">
        <f>Saldobalance!D165</f>
        <v>145195.51999999999</v>
      </c>
      <c r="G222" s="11"/>
      <c r="H222" s="4"/>
      <c r="L222" s="4"/>
      <c r="N222" s="3"/>
      <c r="O222" s="3"/>
    </row>
    <row r="223" spans="1:15" ht="13.5" thickBot="1" x14ac:dyDescent="0.35">
      <c r="A223" s="21" t="str">
        <f>Saldobalance!B166</f>
        <v>Vand i alt</v>
      </c>
      <c r="B223" s="37"/>
      <c r="C223" s="7">
        <v>-11508.98000000001</v>
      </c>
      <c r="D223" s="37"/>
      <c r="E223" s="7"/>
      <c r="F223" s="37"/>
      <c r="G223" s="7">
        <f>Saldobalance!D166</f>
        <v>3054.5199999999895</v>
      </c>
      <c r="H223" s="4"/>
      <c r="L223" s="4"/>
    </row>
    <row r="224" spans="1:15" x14ac:dyDescent="0.25">
      <c r="H224" s="4"/>
      <c r="L224" s="4"/>
    </row>
    <row r="225" spans="1:15" ht="13" thickBot="1" x14ac:dyDescent="0.3">
      <c r="H225" s="4"/>
      <c r="L225" s="4"/>
    </row>
    <row r="226" spans="1:15" ht="13.5" thickBot="1" x14ac:dyDescent="0.35">
      <c r="A226" s="23" t="str">
        <f>Saldobalance!B168</f>
        <v>Varme</v>
      </c>
      <c r="B226" s="27" t="str">
        <f>$B$5</f>
        <v xml:space="preserve">Regnskab </v>
      </c>
      <c r="C226" s="28">
        <f>$C$5</f>
        <v>2015</v>
      </c>
      <c r="D226" s="27"/>
      <c r="E226" s="28"/>
      <c r="F226" s="27" t="str">
        <f>$F$5</f>
        <v xml:space="preserve">Regnskab </v>
      </c>
      <c r="G226" s="28">
        <f>$G$5</f>
        <v>2016</v>
      </c>
      <c r="H226" s="4"/>
      <c r="L226" s="4"/>
    </row>
    <row r="227" spans="1:15" x14ac:dyDescent="0.25">
      <c r="A227" s="18"/>
      <c r="B227" s="47" t="s">
        <v>181</v>
      </c>
      <c r="C227" s="48" t="s">
        <v>27</v>
      </c>
      <c r="D227" s="47"/>
      <c r="E227" s="48"/>
      <c r="F227" s="47" t="s">
        <v>181</v>
      </c>
      <c r="G227" s="48" t="s">
        <v>27</v>
      </c>
      <c r="H227" s="4"/>
      <c r="L227" s="4"/>
    </row>
    <row r="228" spans="1:15" x14ac:dyDescent="0.25">
      <c r="A228" s="29" t="s">
        <v>3</v>
      </c>
      <c r="B228" s="32"/>
      <c r="C228" s="33"/>
      <c r="D228" s="32"/>
      <c r="E228" s="33"/>
      <c r="F228" s="32"/>
      <c r="G228" s="33"/>
      <c r="H228" s="4"/>
      <c r="L228" s="4"/>
    </row>
    <row r="229" spans="1:15" x14ac:dyDescent="0.25">
      <c r="A229" s="10" t="str">
        <f>Saldobalance!B169</f>
        <v>Varme opkrævet</v>
      </c>
      <c r="B229" s="55"/>
      <c r="C229" s="11">
        <v>-254105.5</v>
      </c>
      <c r="D229" s="55"/>
      <c r="E229" s="11"/>
      <c r="F229" s="55"/>
      <c r="G229" s="11">
        <f>Saldobalance!D169</f>
        <v>-267186</v>
      </c>
      <c r="H229" s="4"/>
      <c r="L229" s="4"/>
    </row>
    <row r="230" spans="1:15" x14ac:dyDescent="0.25">
      <c r="A230" s="10" t="str">
        <f>Saldobalance!B170</f>
        <v>Varme Fælleshuset</v>
      </c>
      <c r="B230" s="55"/>
      <c r="C230" s="11">
        <v>-35912</v>
      </c>
      <c r="D230" s="55"/>
      <c r="E230" s="11"/>
      <c r="F230" s="55"/>
      <c r="G230" s="11">
        <f>Saldobalance!D170</f>
        <v>-24785</v>
      </c>
      <c r="H230" s="4"/>
      <c r="I230" s="3"/>
      <c r="J230" s="3"/>
      <c r="L230" s="4"/>
      <c r="M230" s="3"/>
    </row>
    <row r="231" spans="1:15" s="3" customFormat="1" x14ac:dyDescent="0.25">
      <c r="A231" s="10" t="str">
        <f>Saldobalance!B171</f>
        <v>Gas vaskeriet</v>
      </c>
      <c r="B231" s="54"/>
      <c r="C231" s="11">
        <v>-6938</v>
      </c>
      <c r="D231" s="54"/>
      <c r="E231" s="11"/>
      <c r="F231" s="54"/>
      <c r="G231" s="11">
        <f>Saldobalance!D171</f>
        <v>-2931</v>
      </c>
      <c r="H231" s="4"/>
      <c r="L231" s="4"/>
      <c r="N231" s="20"/>
      <c r="O231" s="20"/>
    </row>
    <row r="232" spans="1:15" s="3" customFormat="1" x14ac:dyDescent="0.25">
      <c r="A232" s="10" t="str">
        <f>Saldobalance!B172</f>
        <v>HNG</v>
      </c>
      <c r="B232" s="54">
        <v>282649.78999999998</v>
      </c>
      <c r="C232" s="11"/>
      <c r="D232" s="54"/>
      <c r="E232" s="11"/>
      <c r="F232" s="54">
        <f>Saldobalance!D172</f>
        <v>326943.23</v>
      </c>
      <c r="G232" s="11"/>
      <c r="H232" s="4"/>
      <c r="I232" s="20"/>
      <c r="J232" s="20"/>
      <c r="L232" s="4"/>
      <c r="M232" s="20"/>
    </row>
    <row r="233" spans="1:15" ht="13.5" thickBot="1" x14ac:dyDescent="0.35">
      <c r="A233" s="21" t="str">
        <f>Saldobalance!B173</f>
        <v>Varme i alt</v>
      </c>
      <c r="B233" s="37"/>
      <c r="C233" s="7">
        <v>-14305.710000000021</v>
      </c>
      <c r="D233" s="37"/>
      <c r="E233" s="7"/>
      <c r="F233" s="37"/>
      <c r="G233" s="7">
        <f>Saldobalance!D173</f>
        <v>32041.229999999981</v>
      </c>
      <c r="H233" s="4"/>
      <c r="L233" s="4"/>
      <c r="N233" s="3"/>
      <c r="O233" s="3"/>
    </row>
  </sheetData>
  <protectedRanges>
    <protectedRange sqref="J28" name="Område6_1_1"/>
    <protectedRange sqref="J29:J34" name="Område6_2"/>
    <protectedRange sqref="J37:J45" name="Område7_1"/>
    <protectedRange sqref="J19:J25" name="Område5_1"/>
    <protectedRange sqref="J129" name="Område19_1"/>
    <protectedRange sqref="K91" name="Område12"/>
    <protectedRange sqref="J85:J89" name="Område11"/>
    <protectedRange sqref="J73:K78" name="Område10"/>
    <protectedRange sqref="J48:J51" name="Område8"/>
    <protectedRange sqref="K9:K10" name="Område4"/>
    <protectedRange sqref="B176:C197 B164:C166 B173:C173 B174 K2 B12:C16 B94:C162 B201:C233" name="Område3"/>
    <protectedRange sqref="O4:O5" name="Område2"/>
    <protectedRange sqref="B2 D2 F2 H2" name="Område1"/>
    <protectedRange sqref="K99" name="Område13"/>
    <protectedRange sqref="K101" name="Område14"/>
    <protectedRange sqref="J104:J108" name="Område15"/>
    <protectedRange sqref="J111:J114" name="Område16"/>
    <protectedRange sqref="J117:J121" name="Område17"/>
    <protectedRange sqref="J124:J126" name="Område18"/>
    <protectedRange sqref="J130" name="Område19"/>
    <protectedRange sqref="J133:J136" name="Område20"/>
  </protectedRanges>
  <phoneticPr fontId="11" type="noConversion"/>
  <pageMargins left="0.74803149606299213" right="0.74803149606299213" top="0.55118110236220474" bottom="0.43307086614173229" header="0" footer="0"/>
  <pageSetup paperSize="9" scale="78" fitToHeight="0" orientation="landscape" r:id="rId1"/>
  <headerFooter alignWithMargins="0">
    <oddHeader>&amp;LBofællesskabet Bakken&amp;CRegnskab 2015 / Budget 2016</oddHeader>
    <oddFooter>&amp;LMik og Mette&amp;C6. marts 2016&amp;RSide &amp;P</oddFooter>
  </headerFooter>
  <rowBreaks count="5" manualBreakCount="5">
    <brk id="44" max="13" man="1"/>
    <brk id="94" max="16383" man="1"/>
    <brk id="143" max="16383" man="1"/>
    <brk id="159" max="16383" man="1"/>
    <brk id="2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130" zoomScaleNormal="130" workbookViewId="0">
      <selection activeCell="G20" sqref="G20"/>
    </sheetView>
  </sheetViews>
  <sheetFormatPr defaultRowHeight="12.5" x14ac:dyDescent="0.25"/>
  <cols>
    <col min="1" max="1" width="34.54296875" customWidth="1"/>
    <col min="3" max="3" width="9.26953125" bestFit="1" customWidth="1"/>
    <col min="5" max="5" width="11.1796875" bestFit="1" customWidth="1"/>
    <col min="6" max="6" width="9.26953125" bestFit="1" customWidth="1"/>
    <col min="7" max="7" width="8.81640625" bestFit="1" customWidth="1"/>
  </cols>
  <sheetData>
    <row r="1" spans="1:11" ht="13" x14ac:dyDescent="0.3">
      <c r="A1" s="111" t="s">
        <v>367</v>
      </c>
      <c r="B1" s="118" t="s">
        <v>262</v>
      </c>
      <c r="C1" s="118" t="s">
        <v>263</v>
      </c>
      <c r="D1" s="118" t="s">
        <v>264</v>
      </c>
      <c r="E1" s="118" t="s">
        <v>265</v>
      </c>
      <c r="F1" s="118" t="s">
        <v>266</v>
      </c>
      <c r="G1" s="118" t="s">
        <v>267</v>
      </c>
      <c r="H1" s="118" t="s">
        <v>352</v>
      </c>
      <c r="I1" s="118" t="s">
        <v>351</v>
      </c>
      <c r="J1" s="118" t="s">
        <v>353</v>
      </c>
    </row>
    <row r="2" spans="1:11" x14ac:dyDescent="0.25">
      <c r="A2" s="119" t="s">
        <v>363</v>
      </c>
      <c r="B2" s="107">
        <v>13</v>
      </c>
      <c r="C2" s="120">
        <v>152.4</v>
      </c>
      <c r="D2" s="121">
        <f t="shared" ref="D2:D9" si="0">B2*C2</f>
        <v>1981.2</v>
      </c>
      <c r="E2" s="121">
        <f>D2*1.25</f>
        <v>2476.5</v>
      </c>
      <c r="F2" s="121"/>
      <c r="G2" s="107"/>
    </row>
    <row r="3" spans="1:11" x14ac:dyDescent="0.25">
      <c r="A3" s="119" t="s">
        <v>268</v>
      </c>
      <c r="B3" s="107">
        <v>0</v>
      </c>
      <c r="C3" s="121">
        <v>301.62</v>
      </c>
      <c r="D3" s="121">
        <f>B3*C3</f>
        <v>0</v>
      </c>
      <c r="E3" s="121">
        <f>D3*1.25</f>
        <v>0</v>
      </c>
      <c r="F3" s="121"/>
      <c r="G3" s="121"/>
    </row>
    <row r="4" spans="1:11" x14ac:dyDescent="0.25">
      <c r="A4" s="119" t="s">
        <v>269</v>
      </c>
      <c r="B4" s="107">
        <v>25</v>
      </c>
      <c r="C4" s="120">
        <v>373.4</v>
      </c>
      <c r="D4" s="121">
        <f t="shared" si="0"/>
        <v>9335</v>
      </c>
      <c r="E4" s="121">
        <f t="shared" ref="E4:E20" si="1">D4*1.25</f>
        <v>11668.75</v>
      </c>
      <c r="F4" s="121"/>
      <c r="G4" s="107"/>
    </row>
    <row r="5" spans="1:11" x14ac:dyDescent="0.25">
      <c r="A5" s="119" t="s">
        <v>270</v>
      </c>
      <c r="B5" s="107">
        <v>25</v>
      </c>
      <c r="C5" s="120">
        <v>19.5</v>
      </c>
      <c r="D5" s="121">
        <f t="shared" si="0"/>
        <v>487.5</v>
      </c>
      <c r="E5" s="121">
        <f t="shared" si="1"/>
        <v>609.375</v>
      </c>
      <c r="F5" s="121"/>
      <c r="G5" s="107"/>
    </row>
    <row r="6" spans="1:11" x14ac:dyDescent="0.25">
      <c r="A6" s="119" t="s">
        <v>271</v>
      </c>
      <c r="B6" s="107">
        <v>25</v>
      </c>
      <c r="C6" s="121">
        <v>26.5</v>
      </c>
      <c r="D6" s="121">
        <f t="shared" si="0"/>
        <v>662.5</v>
      </c>
      <c r="E6" s="121">
        <f t="shared" si="1"/>
        <v>828.125</v>
      </c>
      <c r="F6" s="121"/>
      <c r="G6" s="107"/>
    </row>
    <row r="7" spans="1:11" x14ac:dyDescent="0.25">
      <c r="A7" s="119" t="s">
        <v>272</v>
      </c>
      <c r="B7" s="107">
        <v>25</v>
      </c>
      <c r="C7" s="121">
        <v>18.55</v>
      </c>
      <c r="D7" s="121">
        <f t="shared" si="0"/>
        <v>463.75</v>
      </c>
      <c r="E7" s="121">
        <f t="shared" si="1"/>
        <v>579.6875</v>
      </c>
      <c r="F7" s="121"/>
      <c r="G7" s="107"/>
    </row>
    <row r="8" spans="1:11" x14ac:dyDescent="0.25">
      <c r="A8" s="119" t="s">
        <v>273</v>
      </c>
      <c r="B8" s="107">
        <v>25</v>
      </c>
      <c r="C8" s="120">
        <v>16</v>
      </c>
      <c r="D8" s="121">
        <f t="shared" si="0"/>
        <v>400</v>
      </c>
      <c r="E8" s="121">
        <f t="shared" si="1"/>
        <v>500</v>
      </c>
      <c r="F8" s="121"/>
      <c r="G8" s="107"/>
    </row>
    <row r="9" spans="1:11" x14ac:dyDescent="0.25">
      <c r="A9" s="122" t="s">
        <v>274</v>
      </c>
      <c r="B9" s="123">
        <v>25</v>
      </c>
      <c r="C9" s="124">
        <v>435.84</v>
      </c>
      <c r="D9" s="124">
        <f t="shared" si="0"/>
        <v>10896</v>
      </c>
      <c r="E9" s="121">
        <f t="shared" si="1"/>
        <v>13620</v>
      </c>
      <c r="F9" s="121"/>
      <c r="G9" s="107"/>
    </row>
    <row r="10" spans="1:11" ht="13" thickBot="1" x14ac:dyDescent="0.3">
      <c r="A10" s="119" t="s">
        <v>275</v>
      </c>
      <c r="B10" s="107"/>
      <c r="C10" s="121"/>
      <c r="D10" s="121">
        <f>SUM(D2:D9)</f>
        <v>24225.95</v>
      </c>
      <c r="E10" s="125">
        <f t="shared" si="1"/>
        <v>30282.4375</v>
      </c>
      <c r="F10" s="125">
        <f>E10/6/25</f>
        <v>201.88291666666669</v>
      </c>
      <c r="G10" s="125">
        <f>12*F10</f>
        <v>2422.5950000000003</v>
      </c>
      <c r="H10" s="125">
        <f>2*F10</f>
        <v>403.76583333333338</v>
      </c>
      <c r="I10" s="121">
        <v>315</v>
      </c>
      <c r="J10" s="121">
        <f>H10+(H10-I10)/5</f>
        <v>421.51900000000006</v>
      </c>
      <c r="K10" s="107" t="s">
        <v>354</v>
      </c>
    </row>
    <row r="11" spans="1:11" ht="13" thickTop="1" x14ac:dyDescent="0.25">
      <c r="A11" s="119"/>
      <c r="B11" s="107"/>
      <c r="C11" s="121"/>
      <c r="D11" s="121"/>
      <c r="E11" s="121"/>
      <c r="F11" s="121"/>
      <c r="G11" s="121"/>
    </row>
    <row r="12" spans="1:11" x14ac:dyDescent="0.25">
      <c r="A12" s="119" t="s">
        <v>268</v>
      </c>
      <c r="B12" s="107">
        <v>0</v>
      </c>
      <c r="C12" s="121">
        <f>$C$3</f>
        <v>301.62</v>
      </c>
      <c r="D12" s="121">
        <f>B12*C12</f>
        <v>0</v>
      </c>
      <c r="E12" s="121">
        <f>D12*1.25</f>
        <v>0</v>
      </c>
      <c r="F12" s="121"/>
      <c r="G12" s="107"/>
    </row>
    <row r="13" spans="1:11" s="145" customFormat="1" x14ac:dyDescent="0.25">
      <c r="A13" s="119" t="s">
        <v>269</v>
      </c>
      <c r="B13" s="107">
        <v>0</v>
      </c>
      <c r="C13" s="120">
        <f>C4</f>
        <v>373.4</v>
      </c>
      <c r="D13" s="121">
        <f>B13*C13</f>
        <v>0</v>
      </c>
      <c r="E13" s="121">
        <f t="shared" ref="E13" si="2">D13*1.25</f>
        <v>0</v>
      </c>
      <c r="F13" s="121"/>
      <c r="G13" s="107"/>
    </row>
    <row r="14" spans="1:11" x14ac:dyDescent="0.25">
      <c r="A14" s="122" t="s">
        <v>363</v>
      </c>
      <c r="B14" s="123">
        <v>0</v>
      </c>
      <c r="C14" s="126">
        <f>C2</f>
        <v>152.4</v>
      </c>
      <c r="D14" s="124">
        <f>B14*C14</f>
        <v>0</v>
      </c>
      <c r="E14" s="139">
        <f>D14*1.25</f>
        <v>0</v>
      </c>
      <c r="F14" s="145"/>
      <c r="G14" s="145"/>
      <c r="H14" s="145"/>
    </row>
    <row r="15" spans="1:11" ht="13" thickBot="1" x14ac:dyDescent="0.3">
      <c r="A15" s="119" t="s">
        <v>276</v>
      </c>
      <c r="B15" s="107"/>
      <c r="C15" s="120"/>
      <c r="D15" s="121">
        <f>SUM(D12:D14)</f>
        <v>0</v>
      </c>
      <c r="E15" s="125">
        <f>SUM(E12:E14)</f>
        <v>0</v>
      </c>
      <c r="F15" s="145"/>
      <c r="G15" s="145"/>
      <c r="H15" s="145"/>
      <c r="I15" s="107"/>
      <c r="K15" s="90"/>
    </row>
    <row r="16" spans="1:11" ht="13" thickTop="1" x14ac:dyDescent="0.25">
      <c r="A16" s="119"/>
      <c r="B16" s="107"/>
      <c r="C16" s="120"/>
      <c r="D16" s="121"/>
      <c r="E16" s="121"/>
      <c r="F16" s="145"/>
      <c r="G16" s="145"/>
      <c r="H16" s="145"/>
    </row>
    <row r="17" spans="1:13" x14ac:dyDescent="0.25">
      <c r="A17" s="119" t="s">
        <v>277</v>
      </c>
      <c r="B17" s="107">
        <v>1</v>
      </c>
      <c r="C17" s="121">
        <v>1105.3599999999999</v>
      </c>
      <c r="D17" s="121">
        <f>B17*C17</f>
        <v>1105.3599999999999</v>
      </c>
      <c r="E17" s="121">
        <f>D17*1.25</f>
        <v>1381.6999999999998</v>
      </c>
      <c r="F17" s="121"/>
      <c r="G17" s="121"/>
    </row>
    <row r="18" spans="1:13" x14ac:dyDescent="0.25">
      <c r="A18" s="140" t="s">
        <v>278</v>
      </c>
      <c r="B18" s="138">
        <v>1</v>
      </c>
      <c r="C18" s="139">
        <v>2180.65</v>
      </c>
      <c r="D18" s="139">
        <f>B18*C18</f>
        <v>2180.65</v>
      </c>
      <c r="E18" s="139">
        <f>D18*1.25</f>
        <v>2725.8125</v>
      </c>
      <c r="F18" s="121"/>
      <c r="G18" s="121"/>
    </row>
    <row r="19" spans="1:13" x14ac:dyDescent="0.25">
      <c r="A19" s="122" t="s">
        <v>340</v>
      </c>
      <c r="B19" s="123">
        <v>1</v>
      </c>
      <c r="C19" s="124">
        <f>D19</f>
        <v>1440</v>
      </c>
      <c r="D19" s="124">
        <f>E19*0.8</f>
        <v>1440</v>
      </c>
      <c r="E19" s="124">
        <f>6*300</f>
        <v>1800</v>
      </c>
      <c r="F19" s="124"/>
      <c r="G19" s="124"/>
    </row>
    <row r="20" spans="1:13" ht="13" thickBot="1" x14ac:dyDescent="0.3">
      <c r="A20" s="119" t="s">
        <v>279</v>
      </c>
      <c r="B20" s="107"/>
      <c r="C20" s="121"/>
      <c r="D20" s="121">
        <f>SUM(D17:D19)</f>
        <v>4726.01</v>
      </c>
      <c r="E20" s="125">
        <f t="shared" si="1"/>
        <v>5907.5125000000007</v>
      </c>
      <c r="F20" s="125">
        <f>E20/6</f>
        <v>984.58541666666679</v>
      </c>
      <c r="G20" s="125">
        <f>2*E20</f>
        <v>11815.025000000001</v>
      </c>
      <c r="H20" s="125">
        <f>2*F20</f>
        <v>1969.1708333333336</v>
      </c>
      <c r="I20" s="121">
        <v>1053</v>
      </c>
      <c r="J20" s="121">
        <f>H20+(H20-I20)/5</f>
        <v>2152.4050000000002</v>
      </c>
      <c r="K20" s="107" t="s">
        <v>355</v>
      </c>
    </row>
    <row r="21" spans="1:13" ht="13" thickTop="1" x14ac:dyDescent="0.25">
      <c r="A21" s="107"/>
      <c r="B21" s="107"/>
      <c r="C21" s="121"/>
      <c r="D21" s="121"/>
      <c r="E21" s="121"/>
      <c r="F21" s="121"/>
      <c r="G21" s="107"/>
    </row>
    <row r="22" spans="1:13" x14ac:dyDescent="0.25">
      <c r="A22" s="107"/>
      <c r="B22" s="107"/>
      <c r="C22" s="121"/>
      <c r="D22" s="121"/>
      <c r="E22" s="121"/>
      <c r="F22" s="121"/>
      <c r="G22" s="107"/>
      <c r="J22" s="148"/>
    </row>
    <row r="23" spans="1:13" s="147" customFormat="1" ht="10" x14ac:dyDescent="0.2">
      <c r="A23" s="146" t="s">
        <v>280</v>
      </c>
      <c r="C23" s="148"/>
      <c r="D23" s="148">
        <f>D10+D20+D15-D19</f>
        <v>27511.96</v>
      </c>
      <c r="E23" s="148">
        <f>E10+E20+E15-E19</f>
        <v>34389.949999999997</v>
      </c>
      <c r="F23" s="148"/>
      <c r="J23" s="148">
        <f>(1*(I20+5*J20)+25*(I10+5*J10))/2</f>
        <v>36189.950000000004</v>
      </c>
      <c r="M23" s="148"/>
    </row>
    <row r="24" spans="1:13" x14ac:dyDescent="0.25">
      <c r="E24" s="148">
        <f>E23-E15+E19</f>
        <v>36189.949999999997</v>
      </c>
    </row>
    <row r="26" spans="1:13" x14ac:dyDescent="0.25">
      <c r="A26" t="s">
        <v>281</v>
      </c>
      <c r="E26" s="121">
        <v>2414.98</v>
      </c>
    </row>
    <row r="27" spans="1:13" x14ac:dyDescent="0.25">
      <c r="A27" s="112" t="s">
        <v>365</v>
      </c>
      <c r="B27" s="112"/>
      <c r="C27" s="112"/>
      <c r="D27" s="112"/>
      <c r="E27" s="124">
        <f>E15</f>
        <v>0</v>
      </c>
      <c r="F27" s="124">
        <f>E27/6</f>
        <v>0</v>
      </c>
      <c r="G27" s="124">
        <f>2*E27</f>
        <v>0</v>
      </c>
      <c r="H27" s="124">
        <f>2*F27</f>
        <v>0</v>
      </c>
    </row>
    <row r="28" spans="1:13" ht="13" thickBot="1" x14ac:dyDescent="0.3">
      <c r="A28" s="149" t="s">
        <v>129</v>
      </c>
      <c r="E28" s="125">
        <f>SUM(E26:E27)</f>
        <v>2414.98</v>
      </c>
      <c r="F28" s="127">
        <f>E28/6</f>
        <v>402.49666666666667</v>
      </c>
      <c r="G28" s="127">
        <f>2*E28</f>
        <v>4829.96</v>
      </c>
      <c r="H28" s="127">
        <f>2*F28</f>
        <v>804.99333333333334</v>
      </c>
      <c r="I28" s="121">
        <v>48.85</v>
      </c>
      <c r="J28" s="121">
        <f>H28+(H28-I28)/5</f>
        <v>956.22199999999998</v>
      </c>
      <c r="K28" s="107" t="s">
        <v>355</v>
      </c>
    </row>
    <row r="29" spans="1:13" ht="13" thickTop="1" x14ac:dyDescent="0.25"/>
    <row r="31" spans="1:13" x14ac:dyDescent="0.25">
      <c r="J31" s="148">
        <f>(1*(I28+5*J28))/2</f>
        <v>2414.98</v>
      </c>
    </row>
    <row r="32" spans="1:13" x14ac:dyDescent="0.25">
      <c r="E32" s="148"/>
    </row>
    <row r="33" spans="5:13" x14ac:dyDescent="0.25">
      <c r="E33" s="148"/>
      <c r="J33" s="148"/>
      <c r="M33" s="148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E7" sqref="E7"/>
    </sheetView>
  </sheetViews>
  <sheetFormatPr defaultRowHeight="12.5" x14ac:dyDescent="0.25"/>
  <cols>
    <col min="1" max="1" width="33.26953125" bestFit="1" customWidth="1"/>
    <col min="2" max="5" width="14.1796875" style="90" customWidth="1"/>
    <col min="6" max="6" width="18.26953125" bestFit="1" customWidth="1"/>
    <col min="7" max="7" width="11.54296875" bestFit="1" customWidth="1"/>
    <col min="8" max="8" width="14" bestFit="1" customWidth="1"/>
  </cols>
  <sheetData>
    <row r="1" spans="1:12" ht="15.5" x14ac:dyDescent="0.35">
      <c r="A1" s="108"/>
      <c r="B1"/>
      <c r="C1"/>
      <c r="D1"/>
      <c r="E1"/>
    </row>
    <row r="2" spans="1:12" x14ac:dyDescent="0.25">
      <c r="B2"/>
      <c r="C2"/>
      <c r="D2"/>
      <c r="E2"/>
    </row>
    <row r="3" spans="1:12" x14ac:dyDescent="0.25">
      <c r="A3" t="s">
        <v>3</v>
      </c>
      <c r="B3" s="128" t="s">
        <v>302</v>
      </c>
      <c r="C3" s="128" t="s">
        <v>303</v>
      </c>
      <c r="D3" s="128" t="s">
        <v>304</v>
      </c>
      <c r="E3" s="129" t="s">
        <v>305</v>
      </c>
      <c r="F3" s="130" t="s">
        <v>306</v>
      </c>
      <c r="G3" s="130" t="s">
        <v>307</v>
      </c>
      <c r="H3" s="130" t="s">
        <v>308</v>
      </c>
      <c r="J3" s="130" t="s">
        <v>309</v>
      </c>
      <c r="K3" s="130" t="s">
        <v>310</v>
      </c>
      <c r="L3" s="130" t="s">
        <v>311</v>
      </c>
    </row>
    <row r="4" spans="1:12" x14ac:dyDescent="0.25">
      <c r="A4" s="107" t="s">
        <v>312</v>
      </c>
      <c r="B4" s="90">
        <f>132147.97-1*5443.4</f>
        <v>126704.57</v>
      </c>
      <c r="C4" s="90">
        <f>B$11*B4/B$10</f>
        <v>4691.97360452475</v>
      </c>
      <c r="D4" s="131">
        <f>B14+C4</f>
        <v>131739.08360452476</v>
      </c>
      <c r="E4" s="132">
        <v>42735</v>
      </c>
      <c r="F4">
        <v>54</v>
      </c>
      <c r="G4" s="90">
        <f>(D4/F4)*12</f>
        <v>29275.35191211661</v>
      </c>
      <c r="H4" s="131">
        <f>(D4/F4)*2</f>
        <v>4879.2253186861017</v>
      </c>
      <c r="J4">
        <v>4704.97</v>
      </c>
      <c r="K4" s="90">
        <f>H4-J4</f>
        <v>174.25531868610142</v>
      </c>
      <c r="L4" s="90">
        <f>K4*2</f>
        <v>348.51063737220284</v>
      </c>
    </row>
    <row r="5" spans="1:12" x14ac:dyDescent="0.25">
      <c r="A5" s="107" t="s">
        <v>313</v>
      </c>
      <c r="B5" s="90">
        <v>16134.9</v>
      </c>
      <c r="C5" s="90">
        <f>B$11*B5/B$10</f>
        <v>597.48851135871735</v>
      </c>
      <c r="D5" s="90">
        <f>B5+C5</f>
        <v>16732.388511358717</v>
      </c>
      <c r="E5" s="132">
        <v>41639</v>
      </c>
      <c r="F5" s="87">
        <v>20</v>
      </c>
      <c r="G5" s="90">
        <f>(D5/F5)*12</f>
        <v>10039.433106815231</v>
      </c>
      <c r="H5" s="90">
        <f>(D5/F5)*2</f>
        <v>1673.2388511358718</v>
      </c>
    </row>
    <row r="6" spans="1:12" x14ac:dyDescent="0.25">
      <c r="A6" s="107" t="s">
        <v>314</v>
      </c>
      <c r="B6" s="90">
        <v>277255.17</v>
      </c>
      <c r="C6" s="90">
        <f>B$11*B6/B$10</f>
        <v>10266.985155768432</v>
      </c>
      <c r="D6" s="90">
        <f>B6+C6</f>
        <v>287522.15515576844</v>
      </c>
      <c r="E6" s="132">
        <v>41639</v>
      </c>
      <c r="F6" s="87">
        <v>20</v>
      </c>
      <c r="G6" s="90">
        <f>(D6/F6)*12</f>
        <v>172513.29309346108</v>
      </c>
      <c r="H6" s="90">
        <f>(D6/F6)*2</f>
        <v>28752.215515576845</v>
      </c>
    </row>
    <row r="7" spans="1:12" x14ac:dyDescent="0.25">
      <c r="A7" s="107" t="s">
        <v>315</v>
      </c>
      <c r="B7" s="90">
        <v>22779.75</v>
      </c>
      <c r="C7" s="90">
        <f>B$11*B7/B$10</f>
        <v>843.55272834809887</v>
      </c>
      <c r="D7" s="90">
        <f>B7+C7</f>
        <v>23623.302728348099</v>
      </c>
      <c r="E7" s="132">
        <v>42369</v>
      </c>
      <c r="F7">
        <v>44</v>
      </c>
      <c r="G7" s="90">
        <f>(D7/F7)*12</f>
        <v>6442.7189259131173</v>
      </c>
      <c r="H7" s="90">
        <f>(D7/F7)*2</f>
        <v>1073.7864876521862</v>
      </c>
    </row>
    <row r="8" spans="1:12" x14ac:dyDescent="0.25">
      <c r="A8" s="133" t="s">
        <v>316</v>
      </c>
      <c r="E8" s="134" t="s">
        <v>317</v>
      </c>
      <c r="G8" s="90">
        <v>7854.83</v>
      </c>
      <c r="H8" s="90">
        <f>G8/6</f>
        <v>1309.1383333333333</v>
      </c>
    </row>
    <row r="9" spans="1:12" x14ac:dyDescent="0.25">
      <c r="A9" s="133"/>
      <c r="E9" s="134"/>
      <c r="G9" s="90"/>
      <c r="H9" s="90"/>
    </row>
    <row r="10" spans="1:12" x14ac:dyDescent="0.25">
      <c r="A10" s="107" t="s">
        <v>318</v>
      </c>
      <c r="B10" s="90">
        <f>SUM(B4:B7)</f>
        <v>442874.39</v>
      </c>
      <c r="F10">
        <v>2013</v>
      </c>
      <c r="G10" s="90">
        <f>SUM(G4:G9)</f>
        <v>226125.62703830603</v>
      </c>
      <c r="H10" s="90">
        <f>SUM(H4:H9)</f>
        <v>37687.604506384341</v>
      </c>
    </row>
    <row r="11" spans="1:12" x14ac:dyDescent="0.25">
      <c r="A11" t="s">
        <v>319</v>
      </c>
      <c r="B11" s="90">
        <v>16400</v>
      </c>
      <c r="C11" s="90">
        <f>SUM(C4:C7)</f>
        <v>16400</v>
      </c>
      <c r="F11">
        <v>2014</v>
      </c>
      <c r="G11" s="90">
        <f>G4+G7+G8</f>
        <v>43572.900838029731</v>
      </c>
    </row>
    <row r="12" spans="1:12" x14ac:dyDescent="0.25">
      <c r="F12">
        <v>2015</v>
      </c>
      <c r="G12" s="90">
        <f>G4+G7+G8</f>
        <v>43572.900838029731</v>
      </c>
    </row>
    <row r="13" spans="1:12" x14ac:dyDescent="0.25">
      <c r="F13">
        <v>2016</v>
      </c>
      <c r="G13" s="90">
        <f>G4+G8</f>
        <v>37130.181912116612</v>
      </c>
    </row>
    <row r="14" spans="1:12" x14ac:dyDescent="0.25">
      <c r="A14" s="107" t="s">
        <v>320</v>
      </c>
      <c r="B14" s="90">
        <v>127047.11</v>
      </c>
      <c r="F14" s="135" t="s">
        <v>321</v>
      </c>
      <c r="G14" s="90">
        <f>G8</f>
        <v>7854.83</v>
      </c>
    </row>
    <row r="15" spans="1:12" x14ac:dyDescent="0.25">
      <c r="A15" s="107" t="s">
        <v>322</v>
      </c>
      <c r="B15" s="109">
        <v>134921.75</v>
      </c>
    </row>
    <row r="16" spans="1:12" x14ac:dyDescent="0.25">
      <c r="A16" s="107" t="s">
        <v>323</v>
      </c>
      <c r="B16" s="131">
        <f>B15-B14</f>
        <v>7874.6399999999994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90"/>
  <sheetViews>
    <sheetView workbookViewId="0">
      <pane ySplit="5" topLeftCell="A104" activePane="bottomLeft" state="frozen"/>
      <selection pane="bottomLeft" activeCell="A104" sqref="A104"/>
    </sheetView>
  </sheetViews>
  <sheetFormatPr defaultColWidth="8.7265625" defaultRowHeight="12.5" x14ac:dyDescent="0.25"/>
  <cols>
    <col min="1" max="1" width="5.81640625" style="156" customWidth="1"/>
    <col min="2" max="2" width="35.453125" style="156" customWidth="1"/>
    <col min="3" max="3" width="12.26953125" style="160" customWidth="1"/>
    <col min="4" max="4" width="13.54296875" style="160" customWidth="1"/>
    <col min="5" max="5" width="10.7265625" style="160" customWidth="1"/>
    <col min="6" max="16384" width="8.7265625" style="156"/>
  </cols>
  <sheetData>
    <row r="2" spans="1:25" ht="14.5" x14ac:dyDescent="0.35">
      <c r="A2" s="162" t="s">
        <v>343</v>
      </c>
      <c r="B2" s="163"/>
      <c r="C2" s="164"/>
      <c r="D2" s="164"/>
      <c r="E2" s="164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1:25" ht="14.5" x14ac:dyDescent="0.35">
      <c r="A3" s="162" t="s">
        <v>344</v>
      </c>
      <c r="B3" s="163"/>
      <c r="C3" s="164"/>
      <c r="D3" s="164"/>
      <c r="E3" s="164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</row>
    <row r="4" spans="1:25" ht="14.5" x14ac:dyDescent="0.35">
      <c r="A4" s="162" t="s">
        <v>368</v>
      </c>
      <c r="B4" s="163"/>
      <c r="C4" s="164"/>
      <c r="D4" s="164"/>
      <c r="E4" s="164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</row>
    <row r="5" spans="1:25" ht="14.5" x14ac:dyDescent="0.35">
      <c r="A5" s="157" t="s">
        <v>183</v>
      </c>
      <c r="B5" s="157" t="s">
        <v>88</v>
      </c>
      <c r="C5" s="158" t="s">
        <v>184</v>
      </c>
      <c r="D5" s="158" t="s">
        <v>185</v>
      </c>
      <c r="E5" s="158" t="s">
        <v>186</v>
      </c>
    </row>
    <row r="6" spans="1:25" x14ac:dyDescent="0.25">
      <c r="A6" s="156">
        <v>1010</v>
      </c>
      <c r="B6" s="156" t="s">
        <v>26</v>
      </c>
      <c r="C6" s="159">
        <v>-717000</v>
      </c>
      <c r="D6" s="159">
        <v>-717000</v>
      </c>
      <c r="E6" s="159">
        <f>D6-C6</f>
        <v>0</v>
      </c>
    </row>
    <row r="7" spans="1:25" x14ac:dyDescent="0.25">
      <c r="A7" s="156">
        <v>1020</v>
      </c>
      <c r="B7" s="156" t="s">
        <v>28</v>
      </c>
      <c r="C7" s="159">
        <v>-43020</v>
      </c>
      <c r="D7" s="159">
        <v>-43020</v>
      </c>
      <c r="E7" s="159">
        <f>D7-C7</f>
        <v>0</v>
      </c>
    </row>
    <row r="8" spans="1:25" x14ac:dyDescent="0.25">
      <c r="A8" s="156">
        <v>1030</v>
      </c>
      <c r="B8" s="156" t="s">
        <v>369</v>
      </c>
      <c r="C8" s="159">
        <v>-2000</v>
      </c>
      <c r="D8" s="159">
        <v>-1700</v>
      </c>
      <c r="E8" s="159">
        <f>D8-C8</f>
        <v>300</v>
      </c>
    </row>
    <row r="9" spans="1:25" x14ac:dyDescent="0.25">
      <c r="A9" s="156">
        <v>1040</v>
      </c>
      <c r="B9" s="156" t="s">
        <v>6</v>
      </c>
      <c r="C9" s="159">
        <v>0</v>
      </c>
      <c r="D9" s="159">
        <v>0</v>
      </c>
      <c r="E9" s="159">
        <f>D9-C9</f>
        <v>0</v>
      </c>
    </row>
    <row r="10" spans="1:25" ht="14.5" x14ac:dyDescent="0.35">
      <c r="A10" s="156" t="s">
        <v>370</v>
      </c>
      <c r="B10" s="157" t="s">
        <v>99</v>
      </c>
      <c r="C10" s="154">
        <f>+SUM(C6:C9)</f>
        <v>-762020</v>
      </c>
      <c r="D10" s="154">
        <f>+SUM(D6:D9)</f>
        <v>-761720</v>
      </c>
      <c r="E10" s="154">
        <f>D10-C10</f>
        <v>300</v>
      </c>
    </row>
    <row r="11" spans="1:25" x14ac:dyDescent="0.25">
      <c r="A11" s="156" t="s">
        <v>370</v>
      </c>
      <c r="B11" s="156" t="s">
        <v>378</v>
      </c>
      <c r="C11" s="160" t="s">
        <v>378</v>
      </c>
      <c r="D11" s="160" t="s">
        <v>370</v>
      </c>
      <c r="E11" s="160" t="s">
        <v>370</v>
      </c>
    </row>
    <row r="12" spans="1:25" ht="14.5" x14ac:dyDescent="0.35">
      <c r="A12" s="156" t="s">
        <v>370</v>
      </c>
      <c r="B12" s="157" t="s">
        <v>100</v>
      </c>
      <c r="C12" s="160" t="s">
        <v>378</v>
      </c>
      <c r="D12" s="160" t="s">
        <v>370</v>
      </c>
      <c r="E12" s="160" t="s">
        <v>370</v>
      </c>
    </row>
    <row r="13" spans="1:25" x14ac:dyDescent="0.25">
      <c r="A13" s="156" t="s">
        <v>370</v>
      </c>
      <c r="B13" s="156" t="s">
        <v>378</v>
      </c>
      <c r="C13" s="160" t="s">
        <v>378</v>
      </c>
      <c r="D13" s="160" t="s">
        <v>370</v>
      </c>
      <c r="E13" s="160" t="s">
        <v>370</v>
      </c>
    </row>
    <row r="14" spans="1:25" ht="14.5" x14ac:dyDescent="0.35">
      <c r="A14" s="156" t="s">
        <v>370</v>
      </c>
      <c r="B14" s="157" t="s">
        <v>102</v>
      </c>
      <c r="C14" s="160" t="s">
        <v>378</v>
      </c>
      <c r="D14" s="160" t="s">
        <v>370</v>
      </c>
      <c r="E14" s="160" t="s">
        <v>370</v>
      </c>
    </row>
    <row r="15" spans="1:25" x14ac:dyDescent="0.25">
      <c r="A15" s="156">
        <v>1311</v>
      </c>
      <c r="B15" s="156" t="s">
        <v>356</v>
      </c>
      <c r="C15" s="159">
        <v>20000</v>
      </c>
      <c r="D15" s="159">
        <v>6339.02</v>
      </c>
      <c r="E15" s="159">
        <f t="shared" ref="E15:E22" si="0">D15-C15</f>
        <v>-13660.98</v>
      </c>
    </row>
    <row r="16" spans="1:25" x14ac:dyDescent="0.25">
      <c r="A16" s="156">
        <v>1312</v>
      </c>
      <c r="B16" s="156" t="s">
        <v>29</v>
      </c>
      <c r="C16" s="159">
        <v>20000</v>
      </c>
      <c r="D16" s="159">
        <v>2475</v>
      </c>
      <c r="E16" s="159">
        <f t="shared" si="0"/>
        <v>-17525</v>
      </c>
    </row>
    <row r="17" spans="1:5" x14ac:dyDescent="0.25">
      <c r="A17" s="156">
        <v>1313</v>
      </c>
      <c r="B17" s="156" t="s">
        <v>237</v>
      </c>
      <c r="C17" s="159">
        <v>10000</v>
      </c>
      <c r="D17" s="159">
        <v>20771.439999999999</v>
      </c>
      <c r="E17" s="159">
        <f t="shared" si="0"/>
        <v>10771.439999999999</v>
      </c>
    </row>
    <row r="18" spans="1:5" x14ac:dyDescent="0.25">
      <c r="A18" s="156">
        <v>1314</v>
      </c>
      <c r="B18" s="156" t="s">
        <v>31</v>
      </c>
      <c r="C18" s="159">
        <v>6000</v>
      </c>
      <c r="D18" s="159">
        <v>14228.46</v>
      </c>
      <c r="E18" s="159">
        <f t="shared" si="0"/>
        <v>8228.4599999999991</v>
      </c>
    </row>
    <row r="19" spans="1:5" x14ac:dyDescent="0.25">
      <c r="A19" s="156">
        <v>1315</v>
      </c>
      <c r="B19" s="156" t="s">
        <v>30</v>
      </c>
      <c r="C19" s="159">
        <v>6000</v>
      </c>
      <c r="D19" s="159">
        <v>422.6</v>
      </c>
      <c r="E19" s="159">
        <f t="shared" si="0"/>
        <v>-5577.4</v>
      </c>
    </row>
    <row r="20" spans="1:5" x14ac:dyDescent="0.25">
      <c r="A20" s="156">
        <v>1316</v>
      </c>
      <c r="B20" s="156" t="s">
        <v>32</v>
      </c>
      <c r="C20" s="159">
        <v>40000</v>
      </c>
      <c r="D20" s="159">
        <v>65395.31</v>
      </c>
      <c r="E20" s="159">
        <f t="shared" si="0"/>
        <v>25395.309999999998</v>
      </c>
    </row>
    <row r="21" spans="1:5" x14ac:dyDescent="0.25">
      <c r="A21" s="156">
        <v>1317</v>
      </c>
      <c r="B21" s="156" t="s">
        <v>17</v>
      </c>
      <c r="C21" s="159">
        <v>0</v>
      </c>
      <c r="D21" s="159">
        <v>-21000</v>
      </c>
      <c r="E21" s="159">
        <f t="shared" si="0"/>
        <v>-21000</v>
      </c>
    </row>
    <row r="22" spans="1:5" ht="14.5" x14ac:dyDescent="0.35">
      <c r="A22" s="156" t="s">
        <v>370</v>
      </c>
      <c r="B22" s="157" t="s">
        <v>103</v>
      </c>
      <c r="C22" s="154">
        <f>+SUM(C15:C21)</f>
        <v>102000</v>
      </c>
      <c r="D22" s="154">
        <f>+SUM(D15:D21)</f>
        <v>88631.829999999987</v>
      </c>
      <c r="E22" s="154">
        <f t="shared" si="0"/>
        <v>-13368.170000000013</v>
      </c>
    </row>
    <row r="23" spans="1:5" x14ac:dyDescent="0.25">
      <c r="A23" s="156" t="s">
        <v>370</v>
      </c>
      <c r="B23" s="156" t="s">
        <v>378</v>
      </c>
      <c r="C23" s="160" t="s">
        <v>378</v>
      </c>
      <c r="D23" s="160" t="s">
        <v>370</v>
      </c>
      <c r="E23" s="160" t="s">
        <v>370</v>
      </c>
    </row>
    <row r="24" spans="1:5" ht="14.5" x14ac:dyDescent="0.35">
      <c r="A24" s="156" t="s">
        <v>370</v>
      </c>
      <c r="B24" s="157" t="s">
        <v>104</v>
      </c>
      <c r="C24" s="160" t="s">
        <v>378</v>
      </c>
      <c r="D24" s="160" t="s">
        <v>370</v>
      </c>
      <c r="E24" s="160" t="s">
        <v>370</v>
      </c>
    </row>
    <row r="25" spans="1:5" x14ac:dyDescent="0.25">
      <c r="A25" s="156">
        <v>1321</v>
      </c>
      <c r="B25" s="156" t="s">
        <v>33</v>
      </c>
      <c r="C25" s="159">
        <v>2000</v>
      </c>
      <c r="D25" s="159">
        <v>1493</v>
      </c>
      <c r="E25" s="159">
        <f t="shared" ref="E25:E32" si="1">D25-C25</f>
        <v>-507</v>
      </c>
    </row>
    <row r="26" spans="1:5" x14ac:dyDescent="0.25">
      <c r="A26" s="156">
        <v>1322</v>
      </c>
      <c r="B26" s="156" t="s">
        <v>34</v>
      </c>
      <c r="C26" s="159">
        <v>9000</v>
      </c>
      <c r="D26" s="159">
        <v>2586.7800000000002</v>
      </c>
      <c r="E26" s="159">
        <f t="shared" si="1"/>
        <v>-6413.2199999999993</v>
      </c>
    </row>
    <row r="27" spans="1:5" x14ac:dyDescent="0.25">
      <c r="A27" s="156">
        <v>1323</v>
      </c>
      <c r="B27" s="156" t="s">
        <v>35</v>
      </c>
      <c r="C27" s="159">
        <v>3000</v>
      </c>
      <c r="D27" s="159">
        <v>1667.75</v>
      </c>
      <c r="E27" s="159">
        <f t="shared" si="1"/>
        <v>-1332.25</v>
      </c>
    </row>
    <row r="28" spans="1:5" x14ac:dyDescent="0.25">
      <c r="A28" s="156">
        <v>1324</v>
      </c>
      <c r="B28" s="156" t="s">
        <v>336</v>
      </c>
      <c r="C28" s="159">
        <v>10000</v>
      </c>
      <c r="D28" s="159">
        <v>8526.7099999999991</v>
      </c>
      <c r="E28" s="159">
        <f t="shared" si="1"/>
        <v>-1473.2900000000009</v>
      </c>
    </row>
    <row r="29" spans="1:5" x14ac:dyDescent="0.25">
      <c r="A29" s="156">
        <v>1325</v>
      </c>
      <c r="B29" s="156" t="s">
        <v>259</v>
      </c>
      <c r="C29" s="159">
        <v>1200</v>
      </c>
      <c r="D29" s="159">
        <v>0</v>
      </c>
      <c r="E29" s="159">
        <f t="shared" si="1"/>
        <v>-1200</v>
      </c>
    </row>
    <row r="30" spans="1:5" x14ac:dyDescent="0.25">
      <c r="A30" s="156">
        <v>1326</v>
      </c>
      <c r="B30" s="156" t="s">
        <v>36</v>
      </c>
      <c r="C30" s="159">
        <v>2000</v>
      </c>
      <c r="D30" s="159">
        <v>2538.86</v>
      </c>
      <c r="E30" s="159">
        <f t="shared" si="1"/>
        <v>538.86000000000013</v>
      </c>
    </row>
    <row r="31" spans="1:5" x14ac:dyDescent="0.25">
      <c r="A31" s="156">
        <v>1327</v>
      </c>
      <c r="B31" s="156" t="s">
        <v>258</v>
      </c>
      <c r="C31" s="159">
        <v>2000</v>
      </c>
      <c r="D31" s="159">
        <v>105</v>
      </c>
      <c r="E31" s="159">
        <f t="shared" si="1"/>
        <v>-1895</v>
      </c>
    </row>
    <row r="32" spans="1:5" ht="14.5" x14ac:dyDescent="0.35">
      <c r="A32" s="156" t="s">
        <v>370</v>
      </c>
      <c r="B32" s="157" t="s">
        <v>105</v>
      </c>
      <c r="C32" s="154">
        <f>+SUM(C25:C31)</f>
        <v>29200</v>
      </c>
      <c r="D32" s="154">
        <f>+SUM(D25:D31)</f>
        <v>16918.099999999999</v>
      </c>
      <c r="E32" s="154">
        <f t="shared" si="1"/>
        <v>-12281.900000000001</v>
      </c>
    </row>
    <row r="33" spans="1:5" x14ac:dyDescent="0.25">
      <c r="A33" s="156" t="s">
        <v>370</v>
      </c>
      <c r="B33" s="156" t="s">
        <v>378</v>
      </c>
      <c r="C33" s="160" t="s">
        <v>378</v>
      </c>
      <c r="D33" s="160" t="s">
        <v>370</v>
      </c>
      <c r="E33" s="160" t="s">
        <v>370</v>
      </c>
    </row>
    <row r="34" spans="1:5" ht="14.5" x14ac:dyDescent="0.35">
      <c r="A34" s="156" t="s">
        <v>370</v>
      </c>
      <c r="B34" s="157" t="s">
        <v>106</v>
      </c>
      <c r="C34" s="160" t="s">
        <v>378</v>
      </c>
      <c r="D34" s="160" t="s">
        <v>370</v>
      </c>
      <c r="E34" s="160" t="s">
        <v>370</v>
      </c>
    </row>
    <row r="35" spans="1:5" x14ac:dyDescent="0.25">
      <c r="A35" s="156">
        <v>1331</v>
      </c>
      <c r="B35" s="156" t="s">
        <v>37</v>
      </c>
      <c r="C35" s="159">
        <v>8000</v>
      </c>
      <c r="D35" s="159">
        <v>4567.95</v>
      </c>
      <c r="E35" s="159">
        <f t="shared" ref="E35:E45" si="2">D35-C35</f>
        <v>-3432.05</v>
      </c>
    </row>
    <row r="36" spans="1:5" x14ac:dyDescent="0.25">
      <c r="A36" s="156">
        <v>1332</v>
      </c>
      <c r="B36" s="156" t="s">
        <v>248</v>
      </c>
      <c r="C36" s="159">
        <v>6000</v>
      </c>
      <c r="D36" s="159">
        <v>6388.37</v>
      </c>
      <c r="E36" s="159">
        <f t="shared" si="2"/>
        <v>388.36999999999989</v>
      </c>
    </row>
    <row r="37" spans="1:5" x14ac:dyDescent="0.25">
      <c r="A37" s="156">
        <v>1333</v>
      </c>
      <c r="B37" s="156" t="s">
        <v>38</v>
      </c>
      <c r="C37" s="159">
        <v>10000</v>
      </c>
      <c r="D37" s="159">
        <v>11938.35</v>
      </c>
      <c r="E37" s="159">
        <f t="shared" si="2"/>
        <v>1938.3500000000004</v>
      </c>
    </row>
    <row r="38" spans="1:5" x14ac:dyDescent="0.25">
      <c r="A38" s="156">
        <v>1334</v>
      </c>
      <c r="B38" s="156" t="s">
        <v>39</v>
      </c>
      <c r="C38" s="159">
        <v>2000</v>
      </c>
      <c r="D38" s="159">
        <v>1535.9</v>
      </c>
      <c r="E38" s="159">
        <f t="shared" si="2"/>
        <v>-464.09999999999991</v>
      </c>
    </row>
    <row r="39" spans="1:5" x14ac:dyDescent="0.25">
      <c r="A39" s="156">
        <v>1335</v>
      </c>
      <c r="B39" s="156" t="s">
        <v>40</v>
      </c>
      <c r="C39" s="159">
        <v>4000</v>
      </c>
      <c r="D39" s="159">
        <v>3417.85</v>
      </c>
      <c r="E39" s="159">
        <f t="shared" si="2"/>
        <v>-582.15000000000009</v>
      </c>
    </row>
    <row r="40" spans="1:5" x14ac:dyDescent="0.25">
      <c r="A40" s="156">
        <v>1336</v>
      </c>
      <c r="B40" s="156" t="s">
        <v>41</v>
      </c>
      <c r="C40" s="159">
        <v>2000</v>
      </c>
      <c r="D40" s="159">
        <v>1515.37</v>
      </c>
      <c r="E40" s="159">
        <f t="shared" si="2"/>
        <v>-484.63000000000011</v>
      </c>
    </row>
    <row r="41" spans="1:5" x14ac:dyDescent="0.25">
      <c r="A41" s="156">
        <v>1337</v>
      </c>
      <c r="B41" s="156" t="s">
        <v>42</v>
      </c>
      <c r="C41" s="159">
        <v>1000</v>
      </c>
      <c r="D41" s="159">
        <v>0</v>
      </c>
      <c r="E41" s="159">
        <f t="shared" si="2"/>
        <v>-1000</v>
      </c>
    </row>
    <row r="42" spans="1:5" x14ac:dyDescent="0.25">
      <c r="A42" s="156">
        <v>1338</v>
      </c>
      <c r="B42" s="156" t="s">
        <v>43</v>
      </c>
      <c r="C42" s="159">
        <v>20000</v>
      </c>
      <c r="D42" s="159">
        <v>14720.75</v>
      </c>
      <c r="E42" s="159">
        <f t="shared" si="2"/>
        <v>-5279.25</v>
      </c>
    </row>
    <row r="43" spans="1:5" x14ac:dyDescent="0.25">
      <c r="A43" s="156">
        <v>1339</v>
      </c>
      <c r="B43" s="156" t="s">
        <v>44</v>
      </c>
      <c r="C43" s="159">
        <v>1000</v>
      </c>
      <c r="D43" s="159">
        <v>1679.4</v>
      </c>
      <c r="E43" s="159">
        <f t="shared" si="2"/>
        <v>679.40000000000009</v>
      </c>
    </row>
    <row r="44" spans="1:5" x14ac:dyDescent="0.25">
      <c r="A44" s="156">
        <v>1340</v>
      </c>
      <c r="B44" s="156" t="s">
        <v>249</v>
      </c>
      <c r="C44" s="159">
        <v>0</v>
      </c>
      <c r="D44" s="159">
        <v>0</v>
      </c>
      <c r="E44" s="159">
        <f t="shared" si="2"/>
        <v>0</v>
      </c>
    </row>
    <row r="45" spans="1:5" ht="14.5" x14ac:dyDescent="0.35">
      <c r="A45" s="156" t="s">
        <v>370</v>
      </c>
      <c r="B45" s="157" t="s">
        <v>187</v>
      </c>
      <c r="C45" s="154">
        <f>+SUM(C35:C44)</f>
        <v>54000</v>
      </c>
      <c r="D45" s="154">
        <f>+SUM(D35:D44)</f>
        <v>45763.939999999995</v>
      </c>
      <c r="E45" s="154">
        <f t="shared" si="2"/>
        <v>-8236.0600000000049</v>
      </c>
    </row>
    <row r="46" spans="1:5" x14ac:dyDescent="0.25">
      <c r="A46" s="156" t="s">
        <v>370</v>
      </c>
      <c r="B46" s="156" t="s">
        <v>378</v>
      </c>
      <c r="C46" s="160" t="s">
        <v>378</v>
      </c>
      <c r="D46" s="160" t="s">
        <v>370</v>
      </c>
      <c r="E46" s="160" t="s">
        <v>370</v>
      </c>
    </row>
    <row r="47" spans="1:5" ht="14.5" x14ac:dyDescent="0.35">
      <c r="A47" s="156" t="s">
        <v>370</v>
      </c>
      <c r="B47" s="157" t="s">
        <v>107</v>
      </c>
      <c r="C47" s="160" t="s">
        <v>378</v>
      </c>
      <c r="D47" s="160" t="s">
        <v>370</v>
      </c>
      <c r="E47" s="160" t="s">
        <v>370</v>
      </c>
    </row>
    <row r="48" spans="1:5" x14ac:dyDescent="0.25">
      <c r="A48" s="156">
        <v>1351</v>
      </c>
      <c r="B48" s="156" t="s">
        <v>45</v>
      </c>
      <c r="C48" s="159">
        <v>4000</v>
      </c>
      <c r="D48" s="159">
        <v>3395.44</v>
      </c>
      <c r="E48" s="159">
        <f>D48-C48</f>
        <v>-604.55999999999995</v>
      </c>
    </row>
    <row r="49" spans="1:5" x14ac:dyDescent="0.25">
      <c r="A49" s="156">
        <v>1352</v>
      </c>
      <c r="B49" s="156" t="s">
        <v>211</v>
      </c>
      <c r="C49" s="159">
        <v>5000</v>
      </c>
      <c r="D49" s="159">
        <v>5122.32</v>
      </c>
      <c r="E49" s="159">
        <f>D49-C49</f>
        <v>122.31999999999971</v>
      </c>
    </row>
    <row r="50" spans="1:5" x14ac:dyDescent="0.25">
      <c r="A50" s="156">
        <v>1353</v>
      </c>
      <c r="B50" s="156" t="s">
        <v>46</v>
      </c>
      <c r="C50" s="159">
        <v>500</v>
      </c>
      <c r="D50" s="159">
        <v>525</v>
      </c>
      <c r="E50" s="159">
        <f>D50-C50</f>
        <v>25</v>
      </c>
    </row>
    <row r="51" spans="1:5" x14ac:dyDescent="0.25">
      <c r="A51" s="156">
        <v>1355</v>
      </c>
      <c r="B51" s="156" t="s">
        <v>357</v>
      </c>
      <c r="C51" s="159">
        <v>1000</v>
      </c>
      <c r="D51" s="159">
        <v>639</v>
      </c>
      <c r="E51" s="159">
        <f>D51-C51</f>
        <v>-361</v>
      </c>
    </row>
    <row r="52" spans="1:5" ht="14.5" x14ac:dyDescent="0.35">
      <c r="A52" s="156" t="s">
        <v>370</v>
      </c>
      <c r="B52" s="157" t="s">
        <v>108</v>
      </c>
      <c r="C52" s="154">
        <f>+SUM(C48:C51)</f>
        <v>10500</v>
      </c>
      <c r="D52" s="154">
        <f>+SUM(D48:D51)</f>
        <v>9681.76</v>
      </c>
      <c r="E52" s="154">
        <f>D52-C52</f>
        <v>-818.23999999999978</v>
      </c>
    </row>
    <row r="53" spans="1:5" x14ac:dyDescent="0.25">
      <c r="A53" s="156" t="s">
        <v>370</v>
      </c>
      <c r="B53" s="156" t="s">
        <v>378</v>
      </c>
      <c r="C53" s="160" t="s">
        <v>378</v>
      </c>
      <c r="D53" s="160" t="s">
        <v>370</v>
      </c>
      <c r="E53" s="160" t="s">
        <v>370</v>
      </c>
    </row>
    <row r="54" spans="1:5" ht="14.5" x14ac:dyDescent="0.35">
      <c r="A54" s="156" t="s">
        <v>370</v>
      </c>
      <c r="B54" s="157" t="s">
        <v>337</v>
      </c>
      <c r="C54" s="160" t="s">
        <v>378</v>
      </c>
      <c r="D54" s="160" t="s">
        <v>370</v>
      </c>
      <c r="E54" s="160" t="s">
        <v>370</v>
      </c>
    </row>
    <row r="55" spans="1:5" x14ac:dyDescent="0.25">
      <c r="A55" s="156">
        <v>1361</v>
      </c>
      <c r="B55" s="156" t="s">
        <v>290</v>
      </c>
      <c r="C55" s="159">
        <v>200000</v>
      </c>
      <c r="D55" s="159">
        <v>0</v>
      </c>
      <c r="E55" s="159">
        <f t="shared" ref="E55:E71" si="3">D55-C55</f>
        <v>-200000</v>
      </c>
    </row>
    <row r="56" spans="1:5" x14ac:dyDescent="0.25">
      <c r="A56" s="156">
        <v>1362</v>
      </c>
      <c r="B56" s="156" t="s">
        <v>291</v>
      </c>
      <c r="C56" s="159">
        <v>70000</v>
      </c>
      <c r="D56" s="159">
        <v>152109.57999999999</v>
      </c>
      <c r="E56" s="159">
        <f t="shared" si="3"/>
        <v>82109.579999999987</v>
      </c>
    </row>
    <row r="57" spans="1:5" x14ac:dyDescent="0.25">
      <c r="A57" s="156">
        <v>1363</v>
      </c>
      <c r="B57" s="156" t="s">
        <v>292</v>
      </c>
      <c r="C57" s="159">
        <v>0</v>
      </c>
      <c r="D57" s="159">
        <v>785</v>
      </c>
      <c r="E57" s="159">
        <f t="shared" si="3"/>
        <v>785</v>
      </c>
    </row>
    <row r="58" spans="1:5" x14ac:dyDescent="0.25">
      <c r="A58" s="156">
        <v>1364</v>
      </c>
      <c r="B58" s="156" t="s">
        <v>293</v>
      </c>
      <c r="C58" s="159">
        <v>130000</v>
      </c>
      <c r="D58" s="159">
        <v>48714.86</v>
      </c>
      <c r="E58" s="159">
        <f t="shared" si="3"/>
        <v>-81285.14</v>
      </c>
    </row>
    <row r="59" spans="1:5" x14ac:dyDescent="0.25">
      <c r="A59" s="156">
        <v>1365</v>
      </c>
      <c r="B59" s="156" t="s">
        <v>294</v>
      </c>
      <c r="C59" s="159">
        <v>205000</v>
      </c>
      <c r="D59" s="159">
        <v>34665.980000000003</v>
      </c>
      <c r="E59" s="159">
        <f t="shared" si="3"/>
        <v>-170334.02</v>
      </c>
    </row>
    <row r="60" spans="1:5" x14ac:dyDescent="0.25">
      <c r="A60" s="156">
        <v>1366</v>
      </c>
      <c r="B60" s="156" t="s">
        <v>296</v>
      </c>
      <c r="C60" s="159">
        <v>0</v>
      </c>
      <c r="D60" s="159">
        <v>0</v>
      </c>
      <c r="E60" s="159">
        <f t="shared" si="3"/>
        <v>0</v>
      </c>
    </row>
    <row r="61" spans="1:5" x14ac:dyDescent="0.25">
      <c r="A61" s="156">
        <v>1367</v>
      </c>
      <c r="B61" s="156" t="s">
        <v>297</v>
      </c>
      <c r="C61" s="159">
        <v>10000</v>
      </c>
      <c r="D61" s="159">
        <v>10701</v>
      </c>
      <c r="E61" s="159">
        <f t="shared" si="3"/>
        <v>701</v>
      </c>
    </row>
    <row r="62" spans="1:5" x14ac:dyDescent="0.25">
      <c r="A62" s="156">
        <v>1368</v>
      </c>
      <c r="B62" s="156" t="s">
        <v>300</v>
      </c>
      <c r="C62" s="159">
        <v>0</v>
      </c>
      <c r="D62" s="159">
        <v>0</v>
      </c>
      <c r="E62" s="159">
        <f t="shared" si="3"/>
        <v>0</v>
      </c>
    </row>
    <row r="63" spans="1:5" x14ac:dyDescent="0.25">
      <c r="A63" s="156">
        <v>1369</v>
      </c>
      <c r="B63" s="156" t="s">
        <v>301</v>
      </c>
      <c r="C63" s="159">
        <v>0</v>
      </c>
      <c r="D63" s="159">
        <v>0</v>
      </c>
      <c r="E63" s="159">
        <f t="shared" si="3"/>
        <v>0</v>
      </c>
    </row>
    <row r="64" spans="1:5" x14ac:dyDescent="0.25">
      <c r="A64" s="156">
        <v>1370</v>
      </c>
      <c r="B64" s="156" t="s">
        <v>332</v>
      </c>
      <c r="C64" s="159">
        <v>0</v>
      </c>
      <c r="D64" s="159">
        <v>0</v>
      </c>
      <c r="E64" s="159">
        <f t="shared" si="3"/>
        <v>0</v>
      </c>
    </row>
    <row r="65" spans="1:5" x14ac:dyDescent="0.25">
      <c r="A65" s="156">
        <v>1371</v>
      </c>
      <c r="B65" s="156" t="s">
        <v>333</v>
      </c>
      <c r="C65" s="159">
        <v>0</v>
      </c>
      <c r="D65" s="159">
        <v>0</v>
      </c>
      <c r="E65" s="159">
        <f t="shared" si="3"/>
        <v>0</v>
      </c>
    </row>
    <row r="66" spans="1:5" x14ac:dyDescent="0.25">
      <c r="A66" s="156">
        <v>1372</v>
      </c>
      <c r="B66" s="156" t="s">
        <v>334</v>
      </c>
      <c r="C66" s="159">
        <v>40000</v>
      </c>
      <c r="D66" s="159">
        <v>0</v>
      </c>
      <c r="E66" s="159">
        <f t="shared" si="3"/>
        <v>-40000</v>
      </c>
    </row>
    <row r="67" spans="1:5" x14ac:dyDescent="0.25">
      <c r="A67" s="156">
        <v>1373</v>
      </c>
      <c r="B67" s="156" t="s">
        <v>335</v>
      </c>
      <c r="C67" s="159">
        <v>-615000</v>
      </c>
      <c r="D67" s="159">
        <v>-206976.42</v>
      </c>
      <c r="E67" s="159">
        <f t="shared" si="3"/>
        <v>408023.57999999996</v>
      </c>
    </row>
    <row r="68" spans="1:5" ht="14.5" x14ac:dyDescent="0.35">
      <c r="A68" s="156" t="s">
        <v>370</v>
      </c>
      <c r="B68" s="157" t="s">
        <v>338</v>
      </c>
      <c r="C68" s="154">
        <f>+SUM(C55:C67)</f>
        <v>40000</v>
      </c>
      <c r="D68" s="154">
        <f>+SUM(D55:D67)</f>
        <v>40000</v>
      </c>
      <c r="E68" s="154">
        <f t="shared" si="3"/>
        <v>0</v>
      </c>
    </row>
    <row r="69" spans="1:5" x14ac:dyDescent="0.25">
      <c r="A69" s="156">
        <v>1375</v>
      </c>
      <c r="B69" s="156" t="s">
        <v>379</v>
      </c>
      <c r="C69" s="159">
        <v>0</v>
      </c>
      <c r="D69" s="159">
        <v>0</v>
      </c>
      <c r="E69" s="159">
        <f t="shared" si="3"/>
        <v>0</v>
      </c>
    </row>
    <row r="70" spans="1:5" x14ac:dyDescent="0.25">
      <c r="A70" s="156">
        <v>1376</v>
      </c>
      <c r="B70" s="156" t="s">
        <v>358</v>
      </c>
      <c r="C70" s="159">
        <v>35000</v>
      </c>
      <c r="D70" s="159">
        <v>27323</v>
      </c>
      <c r="E70" s="159">
        <f t="shared" si="3"/>
        <v>-7677</v>
      </c>
    </row>
    <row r="71" spans="1:5" x14ac:dyDescent="0.25">
      <c r="A71" s="156">
        <v>1378</v>
      </c>
      <c r="B71" s="156" t="s">
        <v>243</v>
      </c>
      <c r="C71" s="159">
        <v>1000</v>
      </c>
      <c r="D71" s="159">
        <v>0</v>
      </c>
      <c r="E71" s="159">
        <f t="shared" si="3"/>
        <v>-1000</v>
      </c>
    </row>
    <row r="72" spans="1:5" x14ac:dyDescent="0.25">
      <c r="A72" s="156" t="s">
        <v>370</v>
      </c>
      <c r="B72" s="156" t="s">
        <v>378</v>
      </c>
      <c r="C72" s="160" t="s">
        <v>378</v>
      </c>
      <c r="D72" s="160" t="s">
        <v>370</v>
      </c>
      <c r="E72" s="160" t="s">
        <v>370</v>
      </c>
    </row>
    <row r="73" spans="1:5" ht="14.5" x14ac:dyDescent="0.35">
      <c r="A73" s="156" t="s">
        <v>370</v>
      </c>
      <c r="B73" s="157" t="s">
        <v>224</v>
      </c>
      <c r="C73" s="160" t="s">
        <v>378</v>
      </c>
      <c r="D73" s="160" t="s">
        <v>370</v>
      </c>
      <c r="E73" s="160" t="s">
        <v>370</v>
      </c>
    </row>
    <row r="74" spans="1:5" x14ac:dyDescent="0.25">
      <c r="A74" s="156">
        <v>1381</v>
      </c>
      <c r="B74" s="156" t="s">
        <v>345</v>
      </c>
      <c r="C74" s="159">
        <v>-1500</v>
      </c>
      <c r="D74" s="159">
        <v>-1064</v>
      </c>
      <c r="E74" s="159">
        <f t="shared" ref="E74:E80" si="4">D74-C74</f>
        <v>436</v>
      </c>
    </row>
    <row r="75" spans="1:5" x14ac:dyDescent="0.25">
      <c r="A75" s="156">
        <v>1382</v>
      </c>
      <c r="B75" s="156" t="s">
        <v>284</v>
      </c>
      <c r="C75" s="159">
        <v>-20000</v>
      </c>
      <c r="D75" s="159">
        <v>-21197.49</v>
      </c>
      <c r="E75" s="159">
        <f t="shared" si="4"/>
        <v>-1197.4900000000016</v>
      </c>
    </row>
    <row r="76" spans="1:5" x14ac:dyDescent="0.25">
      <c r="A76" s="156">
        <v>1383</v>
      </c>
      <c r="B76" s="156" t="s">
        <v>285</v>
      </c>
      <c r="C76" s="159">
        <v>2000</v>
      </c>
      <c r="D76" s="159">
        <v>1578.66</v>
      </c>
      <c r="E76" s="159">
        <f t="shared" si="4"/>
        <v>-421.33999999999992</v>
      </c>
    </row>
    <row r="77" spans="1:5" x14ac:dyDescent="0.25">
      <c r="A77" s="156">
        <v>1384</v>
      </c>
      <c r="B77" s="156" t="s">
        <v>225</v>
      </c>
      <c r="C77" s="159">
        <v>20000</v>
      </c>
      <c r="D77" s="159">
        <v>18139.830000000002</v>
      </c>
      <c r="E77" s="159">
        <f t="shared" si="4"/>
        <v>-1860.1699999999983</v>
      </c>
    </row>
    <row r="78" spans="1:5" x14ac:dyDescent="0.25">
      <c r="A78" s="156">
        <v>1392</v>
      </c>
      <c r="B78" s="156" t="s">
        <v>226</v>
      </c>
      <c r="C78" s="159">
        <v>5500</v>
      </c>
      <c r="D78" s="159">
        <v>3099.38</v>
      </c>
      <c r="E78" s="159">
        <f t="shared" si="4"/>
        <v>-2400.62</v>
      </c>
    </row>
    <row r="79" spans="1:5" x14ac:dyDescent="0.25">
      <c r="A79" s="156">
        <v>1397</v>
      </c>
      <c r="B79" s="156" t="s">
        <v>227</v>
      </c>
      <c r="C79" s="159">
        <v>1000</v>
      </c>
      <c r="D79" s="159">
        <v>3488.48</v>
      </c>
      <c r="E79" s="159">
        <f t="shared" si="4"/>
        <v>2488.48</v>
      </c>
    </row>
    <row r="80" spans="1:5" ht="14.5" x14ac:dyDescent="0.35">
      <c r="A80" s="156" t="s">
        <v>370</v>
      </c>
      <c r="B80" s="157" t="s">
        <v>228</v>
      </c>
      <c r="C80" s="154">
        <f>+SUM(C74:C79)</f>
        <v>7000</v>
      </c>
      <c r="D80" s="154">
        <f>+SUM(D74:D79)</f>
        <v>4044.86</v>
      </c>
      <c r="E80" s="154">
        <f t="shared" si="4"/>
        <v>-2955.14</v>
      </c>
    </row>
    <row r="81" spans="1:5" x14ac:dyDescent="0.25">
      <c r="A81" s="156" t="s">
        <v>370</v>
      </c>
      <c r="B81" s="156" t="s">
        <v>378</v>
      </c>
      <c r="C81" s="160" t="s">
        <v>378</v>
      </c>
      <c r="D81" s="160" t="s">
        <v>370</v>
      </c>
      <c r="E81" s="160" t="s">
        <v>370</v>
      </c>
    </row>
    <row r="82" spans="1:5" ht="14.5" x14ac:dyDescent="0.35">
      <c r="A82" s="156" t="s">
        <v>370</v>
      </c>
      <c r="B82" s="157" t="s">
        <v>128</v>
      </c>
      <c r="C82" s="160" t="s">
        <v>378</v>
      </c>
      <c r="D82" s="160" t="s">
        <v>370</v>
      </c>
      <c r="E82" s="160" t="s">
        <v>370</v>
      </c>
    </row>
    <row r="83" spans="1:5" x14ac:dyDescent="0.25">
      <c r="A83" s="156">
        <v>1410</v>
      </c>
      <c r="B83" s="156" t="s">
        <v>84</v>
      </c>
      <c r="C83" s="159">
        <v>-135360</v>
      </c>
      <c r="D83" s="159">
        <v>-135360</v>
      </c>
      <c r="E83" s="159">
        <f t="shared" ref="E83:E93" si="5">D83-C83</f>
        <v>0</v>
      </c>
    </row>
    <row r="84" spans="1:5" x14ac:dyDescent="0.25">
      <c r="A84" s="156">
        <v>1420</v>
      </c>
      <c r="B84" s="156" t="s">
        <v>217</v>
      </c>
      <c r="C84" s="159">
        <v>0</v>
      </c>
      <c r="D84" s="159">
        <v>0</v>
      </c>
      <c r="E84" s="159">
        <f t="shared" si="5"/>
        <v>0</v>
      </c>
    </row>
    <row r="85" spans="1:5" x14ac:dyDescent="0.25">
      <c r="A85" s="156">
        <v>1425</v>
      </c>
      <c r="B85" s="156" t="s">
        <v>189</v>
      </c>
      <c r="C85" s="159">
        <v>-8000</v>
      </c>
      <c r="D85" s="159">
        <v>-9405</v>
      </c>
      <c r="E85" s="159">
        <f t="shared" si="5"/>
        <v>-1405</v>
      </c>
    </row>
    <row r="86" spans="1:5" x14ac:dyDescent="0.25">
      <c r="A86" s="156">
        <v>1427</v>
      </c>
      <c r="B86" s="156" t="s">
        <v>371</v>
      </c>
      <c r="C86" s="159">
        <v>8000</v>
      </c>
      <c r="D86" s="159">
        <v>9741.14</v>
      </c>
      <c r="E86" s="159">
        <f t="shared" si="5"/>
        <v>1741.1399999999994</v>
      </c>
    </row>
    <row r="87" spans="1:5" x14ac:dyDescent="0.25">
      <c r="A87" s="156">
        <v>1430</v>
      </c>
      <c r="B87" s="156" t="s">
        <v>86</v>
      </c>
      <c r="C87" s="159">
        <v>43020</v>
      </c>
      <c r="D87" s="159">
        <v>43020</v>
      </c>
      <c r="E87" s="159">
        <f t="shared" si="5"/>
        <v>0</v>
      </c>
    </row>
    <row r="88" spans="1:5" x14ac:dyDescent="0.25">
      <c r="A88" s="156">
        <v>1440</v>
      </c>
      <c r="B88" s="156" t="s">
        <v>15</v>
      </c>
      <c r="C88" s="159">
        <v>4393.05</v>
      </c>
      <c r="D88" s="159">
        <v>5006.34</v>
      </c>
      <c r="E88" s="159">
        <f t="shared" si="5"/>
        <v>613.29</v>
      </c>
    </row>
    <row r="89" spans="1:5" x14ac:dyDescent="0.25">
      <c r="A89" s="156">
        <v>1450</v>
      </c>
      <c r="B89" s="156" t="s">
        <v>48</v>
      </c>
      <c r="C89" s="159">
        <v>37194.78</v>
      </c>
      <c r="D89" s="159">
        <v>37194.769999999997</v>
      </c>
      <c r="E89" s="159">
        <f t="shared" si="5"/>
        <v>-1.0000000002037268E-2</v>
      </c>
    </row>
    <row r="90" spans="1:5" x14ac:dyDescent="0.25">
      <c r="A90" s="156">
        <v>1460</v>
      </c>
      <c r="B90" s="156" t="s">
        <v>218</v>
      </c>
      <c r="C90" s="159">
        <v>9600</v>
      </c>
      <c r="D90" s="159">
        <v>9596.41</v>
      </c>
      <c r="E90" s="159">
        <f t="shared" si="5"/>
        <v>-3.5900000000001455</v>
      </c>
    </row>
    <row r="91" spans="1:5" x14ac:dyDescent="0.25">
      <c r="A91" s="156">
        <v>1470</v>
      </c>
      <c r="B91" s="156" t="s">
        <v>87</v>
      </c>
      <c r="C91" s="159">
        <v>45000</v>
      </c>
      <c r="D91" s="159">
        <v>84691.99</v>
      </c>
      <c r="E91" s="159">
        <f t="shared" si="5"/>
        <v>39691.990000000005</v>
      </c>
    </row>
    <row r="92" spans="1:5" x14ac:dyDescent="0.25">
      <c r="A92" s="156">
        <v>1480</v>
      </c>
      <c r="B92" s="156" t="s">
        <v>219</v>
      </c>
      <c r="C92" s="159">
        <v>10000</v>
      </c>
      <c r="D92" s="159">
        <v>299</v>
      </c>
      <c r="E92" s="159">
        <f t="shared" si="5"/>
        <v>-9701</v>
      </c>
    </row>
    <row r="93" spans="1:5" ht="14.5" x14ac:dyDescent="0.35">
      <c r="A93" s="156" t="s">
        <v>370</v>
      </c>
      <c r="B93" s="157" t="s">
        <v>129</v>
      </c>
      <c r="C93" s="154">
        <f>+SUM(C83:C92)</f>
        <v>13847.830000000002</v>
      </c>
      <c r="D93" s="154">
        <f>+SUM(D83:D92)</f>
        <v>44784.650000000009</v>
      </c>
      <c r="E93" s="154">
        <f t="shared" si="5"/>
        <v>30936.820000000007</v>
      </c>
    </row>
    <row r="94" spans="1:5" x14ac:dyDescent="0.25">
      <c r="A94" s="156" t="s">
        <v>370</v>
      </c>
      <c r="B94" s="156" t="s">
        <v>378</v>
      </c>
      <c r="C94" s="160" t="s">
        <v>378</v>
      </c>
      <c r="D94" s="160" t="s">
        <v>370</v>
      </c>
      <c r="E94" s="160" t="s">
        <v>370</v>
      </c>
    </row>
    <row r="95" spans="1:5" ht="14.5" x14ac:dyDescent="0.35">
      <c r="A95" s="156" t="s">
        <v>370</v>
      </c>
      <c r="B95" s="157" t="s">
        <v>372</v>
      </c>
      <c r="C95" s="160" t="s">
        <v>378</v>
      </c>
      <c r="D95" s="160" t="s">
        <v>370</v>
      </c>
      <c r="E95" s="160" t="s">
        <v>370</v>
      </c>
    </row>
    <row r="96" spans="1:5" x14ac:dyDescent="0.25">
      <c r="A96" s="156">
        <v>1997</v>
      </c>
      <c r="B96" s="156" t="s">
        <v>47</v>
      </c>
      <c r="C96" s="159">
        <v>0</v>
      </c>
      <c r="D96" s="159">
        <v>1400</v>
      </c>
      <c r="E96" s="159">
        <f>D96-C96</f>
        <v>1400</v>
      </c>
    </row>
    <row r="97" spans="1:5" ht="14.5" x14ac:dyDescent="0.35">
      <c r="A97" s="156" t="s">
        <v>370</v>
      </c>
      <c r="B97" s="157" t="s">
        <v>109</v>
      </c>
      <c r="C97" s="154">
        <f>+SUM(C15:C21)+SUM(C25:C31)+SUM(C35:C44)+SUM(C48:C51)+SUM(C55:C67)+SUM(C69:C71)+SUM(C74:C79)+SUM(C83:C92)+SUM(C96:C96)</f>
        <v>292547.83</v>
      </c>
      <c r="D97" s="154">
        <f>+SUM(D15:D21)+SUM(D25:D31)+SUM(D35:D44)+SUM(D48:D51)+SUM(D55:D67)+SUM(D69:D71)+SUM(D74:D79)+SUM(D83:D92)+SUM(D96:D96)</f>
        <v>278548.14</v>
      </c>
      <c r="E97" s="154">
        <f>D97-C97</f>
        <v>-13999.690000000002</v>
      </c>
    </row>
    <row r="98" spans="1:5" ht="14.5" x14ac:dyDescent="0.35">
      <c r="A98" s="156" t="s">
        <v>370</v>
      </c>
      <c r="B98" s="157" t="s">
        <v>110</v>
      </c>
      <c r="C98" s="154">
        <f>+SUM(C6:C9)+SUM(C15:C21)+SUM(C25:C31)+SUM(C35:C44)+SUM(C48:C51)+SUM(C55:C67)+SUM(C69:C71)+SUM(C74:C79)+SUM(C83:C92)+SUM(C96:C96)</f>
        <v>-469472.17</v>
      </c>
      <c r="D98" s="154">
        <f>+SUM(D6:D9)+SUM(D15:D21)+SUM(D25:D31)+SUM(D35:D44)+SUM(D48:D51)+SUM(D55:D67)+SUM(D69:D71)+SUM(D74:D79)+SUM(D83:D92)+SUM(D96:D96)</f>
        <v>-483171.8600000001</v>
      </c>
      <c r="E98" s="154">
        <f>D98-C98</f>
        <v>-13699.690000000119</v>
      </c>
    </row>
    <row r="99" spans="1:5" x14ac:dyDescent="0.25">
      <c r="A99" s="156" t="s">
        <v>370</v>
      </c>
      <c r="B99" s="156" t="s">
        <v>378</v>
      </c>
      <c r="C99" s="160" t="s">
        <v>378</v>
      </c>
      <c r="D99" s="160" t="s">
        <v>370</v>
      </c>
      <c r="E99" s="160" t="s">
        <v>370</v>
      </c>
    </row>
    <row r="100" spans="1:5" ht="14.5" x14ac:dyDescent="0.35">
      <c r="A100" s="156" t="s">
        <v>370</v>
      </c>
      <c r="B100" s="157" t="s">
        <v>111</v>
      </c>
      <c r="C100" s="160" t="s">
        <v>378</v>
      </c>
      <c r="D100" s="160" t="s">
        <v>370</v>
      </c>
      <c r="E100" s="160" t="s">
        <v>370</v>
      </c>
    </row>
    <row r="101" spans="1:5" x14ac:dyDescent="0.25">
      <c r="A101" s="156">
        <v>2210</v>
      </c>
      <c r="B101" s="156" t="s">
        <v>48</v>
      </c>
      <c r="C101" s="159">
        <v>41937</v>
      </c>
      <c r="D101" s="159">
        <v>41936.99</v>
      </c>
      <c r="E101" s="159">
        <f>D101-C101</f>
        <v>-1.0000000002037268E-2</v>
      </c>
    </row>
    <row r="102" spans="1:5" x14ac:dyDescent="0.25">
      <c r="A102" s="156">
        <v>2220</v>
      </c>
      <c r="B102" s="156" t="s">
        <v>7</v>
      </c>
      <c r="C102" s="159">
        <v>40500</v>
      </c>
      <c r="D102" s="159">
        <v>37148.550000000003</v>
      </c>
      <c r="E102" s="159">
        <f>D102-C102</f>
        <v>-3351.4499999999971</v>
      </c>
    </row>
    <row r="103" spans="1:5" x14ac:dyDescent="0.25">
      <c r="A103" s="156" t="s">
        <v>370</v>
      </c>
      <c r="B103" s="156" t="s">
        <v>378</v>
      </c>
      <c r="C103" s="160" t="s">
        <v>378</v>
      </c>
      <c r="D103" s="160" t="s">
        <v>370</v>
      </c>
      <c r="E103" s="160" t="s">
        <v>370</v>
      </c>
    </row>
    <row r="104" spans="1:5" ht="14.5" x14ac:dyDescent="0.35">
      <c r="A104" s="156" t="s">
        <v>370</v>
      </c>
      <c r="B104" s="157" t="s">
        <v>250</v>
      </c>
      <c r="C104" s="160" t="s">
        <v>378</v>
      </c>
      <c r="D104" s="160" t="s">
        <v>370</v>
      </c>
      <c r="E104" s="160" t="s">
        <v>370</v>
      </c>
    </row>
    <row r="105" spans="1:5" x14ac:dyDescent="0.25">
      <c r="A105" s="156">
        <v>2231</v>
      </c>
      <c r="B105" s="156" t="s">
        <v>260</v>
      </c>
      <c r="C105" s="159">
        <v>29275.35</v>
      </c>
      <c r="D105" s="159">
        <v>29275.38</v>
      </c>
      <c r="E105" s="159">
        <f t="shared" ref="E105:E110" si="6">D105-C105</f>
        <v>3.0000000002473826E-2</v>
      </c>
    </row>
    <row r="106" spans="1:5" x14ac:dyDescent="0.25">
      <c r="A106" s="156">
        <v>2232</v>
      </c>
      <c r="B106" s="156" t="s">
        <v>255</v>
      </c>
      <c r="C106" s="159">
        <v>10039.43</v>
      </c>
      <c r="D106" s="159">
        <v>10039.44</v>
      </c>
      <c r="E106" s="159">
        <f t="shared" si="6"/>
        <v>1.0000000000218279E-2</v>
      </c>
    </row>
    <row r="107" spans="1:5" x14ac:dyDescent="0.25">
      <c r="A107" s="156">
        <v>2233</v>
      </c>
      <c r="B107" s="156" t="s">
        <v>256</v>
      </c>
      <c r="C107" s="159">
        <v>172513.29</v>
      </c>
      <c r="D107" s="159">
        <v>172513.32</v>
      </c>
      <c r="E107" s="159">
        <f t="shared" si="6"/>
        <v>2.9999999998835847E-2</v>
      </c>
    </row>
    <row r="108" spans="1:5" x14ac:dyDescent="0.25">
      <c r="A108" s="156">
        <v>2234</v>
      </c>
      <c r="B108" s="156" t="s">
        <v>200</v>
      </c>
      <c r="C108" s="159">
        <v>6442.72</v>
      </c>
      <c r="D108" s="159">
        <v>6442.74</v>
      </c>
      <c r="E108" s="159">
        <f t="shared" si="6"/>
        <v>1.9999999999527063E-2</v>
      </c>
    </row>
    <row r="109" spans="1:5" x14ac:dyDescent="0.25">
      <c r="A109" s="156">
        <v>2235</v>
      </c>
      <c r="B109" s="156" t="s">
        <v>49</v>
      </c>
      <c r="C109" s="159">
        <v>7855</v>
      </c>
      <c r="D109" s="159">
        <v>7856.82</v>
      </c>
      <c r="E109" s="159">
        <f t="shared" si="6"/>
        <v>1.819999999999709</v>
      </c>
    </row>
    <row r="110" spans="1:5" ht="14.5" x14ac:dyDescent="0.35">
      <c r="A110" s="156" t="s">
        <v>370</v>
      </c>
      <c r="B110" s="157" t="s">
        <v>112</v>
      </c>
      <c r="C110" s="154">
        <f>+SUM(C105:C109)</f>
        <v>226125.79</v>
      </c>
      <c r="D110" s="154">
        <f>+SUM(D105:D109)</f>
        <v>226127.7</v>
      </c>
      <c r="E110" s="154">
        <f t="shared" si="6"/>
        <v>1.9100000000034925</v>
      </c>
    </row>
    <row r="111" spans="1:5" x14ac:dyDescent="0.25">
      <c r="A111" s="156" t="s">
        <v>370</v>
      </c>
      <c r="B111" s="156" t="s">
        <v>378</v>
      </c>
      <c r="C111" s="160" t="s">
        <v>378</v>
      </c>
      <c r="D111" s="160" t="s">
        <v>370</v>
      </c>
      <c r="E111" s="160" t="s">
        <v>370</v>
      </c>
    </row>
    <row r="112" spans="1:5" ht="14.5" x14ac:dyDescent="0.35">
      <c r="A112" s="156" t="s">
        <v>370</v>
      </c>
      <c r="B112" s="157" t="s">
        <v>8</v>
      </c>
      <c r="C112" s="160" t="s">
        <v>378</v>
      </c>
      <c r="D112" s="160" t="s">
        <v>370</v>
      </c>
      <c r="E112" s="160" t="s">
        <v>370</v>
      </c>
    </row>
    <row r="113" spans="1:5" x14ac:dyDescent="0.25">
      <c r="A113" s="156">
        <v>2251</v>
      </c>
      <c r="B113" s="156" t="s">
        <v>346</v>
      </c>
      <c r="C113" s="159">
        <v>0</v>
      </c>
      <c r="D113" s="159">
        <v>37327.870000000003</v>
      </c>
      <c r="E113" s="159">
        <f t="shared" ref="E113:E118" si="7">D113-C113</f>
        <v>37327.870000000003</v>
      </c>
    </row>
    <row r="114" spans="1:5" x14ac:dyDescent="0.25">
      <c r="A114" s="156">
        <v>2252</v>
      </c>
      <c r="B114" s="156" t="s">
        <v>348</v>
      </c>
      <c r="C114" s="159">
        <v>0</v>
      </c>
      <c r="D114" s="159">
        <v>-37327.870000000003</v>
      </c>
      <c r="E114" s="159">
        <f t="shared" si="7"/>
        <v>-37327.870000000003</v>
      </c>
    </row>
    <row r="115" spans="1:5" x14ac:dyDescent="0.25">
      <c r="A115" s="156">
        <v>2255</v>
      </c>
      <c r="B115" s="156" t="s">
        <v>193</v>
      </c>
      <c r="C115" s="159">
        <v>0</v>
      </c>
      <c r="D115" s="159">
        <v>0</v>
      </c>
      <c r="E115" s="159">
        <f t="shared" si="7"/>
        <v>0</v>
      </c>
    </row>
    <row r="116" spans="1:5" x14ac:dyDescent="0.25">
      <c r="A116" s="156">
        <v>2256</v>
      </c>
      <c r="B116" s="156" t="s">
        <v>194</v>
      </c>
      <c r="C116" s="159">
        <v>0</v>
      </c>
      <c r="D116" s="159">
        <v>0</v>
      </c>
      <c r="E116" s="159">
        <f t="shared" si="7"/>
        <v>0</v>
      </c>
    </row>
    <row r="117" spans="1:5" x14ac:dyDescent="0.25">
      <c r="A117" s="156">
        <v>2258</v>
      </c>
      <c r="B117" s="156" t="s">
        <v>50</v>
      </c>
      <c r="C117" s="159">
        <v>0</v>
      </c>
      <c r="D117" s="159">
        <v>662.38</v>
      </c>
      <c r="E117" s="159">
        <f t="shared" si="7"/>
        <v>662.38</v>
      </c>
    </row>
    <row r="118" spans="1:5" ht="14.5" x14ac:dyDescent="0.35">
      <c r="A118" s="156" t="s">
        <v>370</v>
      </c>
      <c r="B118" s="157" t="s">
        <v>113</v>
      </c>
      <c r="C118" s="154">
        <f>+SUM(C113:C117)</f>
        <v>0</v>
      </c>
      <c r="D118" s="154">
        <f>+SUM(D113:D117)</f>
        <v>662.38</v>
      </c>
      <c r="E118" s="154">
        <f t="shared" si="7"/>
        <v>662.38</v>
      </c>
    </row>
    <row r="119" spans="1:5" x14ac:dyDescent="0.25">
      <c r="A119" s="156" t="s">
        <v>370</v>
      </c>
      <c r="B119" s="156" t="s">
        <v>378</v>
      </c>
      <c r="C119" s="160" t="s">
        <v>378</v>
      </c>
      <c r="D119" s="160" t="s">
        <v>370</v>
      </c>
      <c r="E119" s="160" t="s">
        <v>370</v>
      </c>
    </row>
    <row r="120" spans="1:5" ht="14.5" x14ac:dyDescent="0.35">
      <c r="A120" s="156" t="s">
        <v>370</v>
      </c>
      <c r="B120" s="157" t="s">
        <v>212</v>
      </c>
      <c r="C120" s="160" t="s">
        <v>378</v>
      </c>
      <c r="D120" s="160" t="s">
        <v>370</v>
      </c>
      <c r="E120" s="160" t="s">
        <v>370</v>
      </c>
    </row>
    <row r="121" spans="1:5" x14ac:dyDescent="0.25">
      <c r="A121" s="156">
        <v>2261</v>
      </c>
      <c r="B121" s="156" t="s">
        <v>15</v>
      </c>
      <c r="C121" s="159">
        <v>11815.03</v>
      </c>
      <c r="D121" s="159">
        <v>11093.79</v>
      </c>
      <c r="E121" s="159">
        <f t="shared" ref="E121:E126" si="8">D121-C121</f>
        <v>-721.23999999999978</v>
      </c>
    </row>
    <row r="122" spans="1:5" x14ac:dyDescent="0.25">
      <c r="A122" s="156">
        <v>2262</v>
      </c>
      <c r="B122" s="156" t="s">
        <v>51</v>
      </c>
      <c r="C122" s="159">
        <v>65800</v>
      </c>
      <c r="D122" s="159">
        <v>46518.42</v>
      </c>
      <c r="E122" s="159">
        <f t="shared" si="8"/>
        <v>-19281.580000000002</v>
      </c>
    </row>
    <row r="123" spans="1:5" x14ac:dyDescent="0.25">
      <c r="A123" s="156">
        <v>2263</v>
      </c>
      <c r="B123" s="156" t="s">
        <v>52</v>
      </c>
      <c r="C123" s="159">
        <v>23196</v>
      </c>
      <c r="D123" s="159">
        <v>24785</v>
      </c>
      <c r="E123" s="159">
        <f t="shared" si="8"/>
        <v>1589</v>
      </c>
    </row>
    <row r="124" spans="1:5" x14ac:dyDescent="0.25">
      <c r="A124" s="156">
        <v>2264</v>
      </c>
      <c r="B124" s="156" t="s">
        <v>53</v>
      </c>
      <c r="C124" s="159">
        <v>18684</v>
      </c>
      <c r="D124" s="159">
        <v>23392</v>
      </c>
      <c r="E124" s="159">
        <f t="shared" si="8"/>
        <v>4708</v>
      </c>
    </row>
    <row r="125" spans="1:5" x14ac:dyDescent="0.25">
      <c r="A125" s="156">
        <v>2265</v>
      </c>
      <c r="B125" s="156" t="s">
        <v>188</v>
      </c>
      <c r="C125" s="159">
        <v>2500</v>
      </c>
      <c r="D125" s="159">
        <v>2844.67</v>
      </c>
      <c r="E125" s="159">
        <f t="shared" si="8"/>
        <v>344.67000000000007</v>
      </c>
    </row>
    <row r="126" spans="1:5" ht="14.5" x14ac:dyDescent="0.35">
      <c r="A126" s="156" t="s">
        <v>370</v>
      </c>
      <c r="B126" s="157" t="s">
        <v>213</v>
      </c>
      <c r="C126" s="154">
        <f>+SUM(C121:C125)</f>
        <v>121995.03</v>
      </c>
      <c r="D126" s="154">
        <f>+SUM(D121:D125)</f>
        <v>108633.87999999999</v>
      </c>
      <c r="E126" s="154">
        <f t="shared" si="8"/>
        <v>-13361.150000000009</v>
      </c>
    </row>
    <row r="127" spans="1:5" x14ac:dyDescent="0.25">
      <c r="A127" s="156" t="s">
        <v>370</v>
      </c>
      <c r="B127" s="156" t="s">
        <v>378</v>
      </c>
      <c r="C127" s="160" t="s">
        <v>378</v>
      </c>
      <c r="D127" s="160" t="s">
        <v>370</v>
      </c>
      <c r="E127" s="160" t="s">
        <v>370</v>
      </c>
    </row>
    <row r="128" spans="1:5" ht="14.5" x14ac:dyDescent="0.35">
      <c r="A128" s="156" t="s">
        <v>370</v>
      </c>
      <c r="B128" s="157" t="s">
        <v>10</v>
      </c>
      <c r="C128" s="160" t="s">
        <v>378</v>
      </c>
      <c r="D128" s="160" t="s">
        <v>370</v>
      </c>
      <c r="E128" s="160" t="s">
        <v>370</v>
      </c>
    </row>
    <row r="129" spans="1:5" x14ac:dyDescent="0.25">
      <c r="A129" s="156">
        <v>2271</v>
      </c>
      <c r="B129" s="156" t="s">
        <v>54</v>
      </c>
      <c r="C129" s="159">
        <v>3500</v>
      </c>
      <c r="D129" s="159">
        <v>0</v>
      </c>
      <c r="E129" s="159">
        <f>D129-C129</f>
        <v>-3500</v>
      </c>
    </row>
    <row r="130" spans="1:5" x14ac:dyDescent="0.25">
      <c r="A130" s="156">
        <v>2272</v>
      </c>
      <c r="B130" s="156" t="s">
        <v>55</v>
      </c>
      <c r="C130" s="159">
        <v>1000</v>
      </c>
      <c r="D130" s="159">
        <v>978.3</v>
      </c>
      <c r="E130" s="159">
        <f>D130-C130</f>
        <v>-21.700000000000045</v>
      </c>
    </row>
    <row r="131" spans="1:5" x14ac:dyDescent="0.25">
      <c r="A131" s="156">
        <v>2273</v>
      </c>
      <c r="B131" s="156" t="s">
        <v>56</v>
      </c>
      <c r="C131" s="159">
        <v>6000</v>
      </c>
      <c r="D131" s="159">
        <v>5235</v>
      </c>
      <c r="E131" s="159">
        <f>D131-C131</f>
        <v>-765</v>
      </c>
    </row>
    <row r="132" spans="1:5" ht="14.5" x14ac:dyDescent="0.35">
      <c r="A132" s="156" t="s">
        <v>370</v>
      </c>
      <c r="B132" s="157" t="s">
        <v>114</v>
      </c>
      <c r="C132" s="154">
        <f>+SUM(C129:C131)</f>
        <v>10500</v>
      </c>
      <c r="D132" s="154">
        <f>+SUM(D129:D131)</f>
        <v>6213.3</v>
      </c>
      <c r="E132" s="154">
        <f>D132-C132</f>
        <v>-4286.7</v>
      </c>
    </row>
    <row r="133" spans="1:5" x14ac:dyDescent="0.25">
      <c r="A133" s="156" t="s">
        <v>370</v>
      </c>
      <c r="B133" s="156" t="s">
        <v>378</v>
      </c>
      <c r="C133" s="160" t="s">
        <v>378</v>
      </c>
      <c r="D133" s="160" t="s">
        <v>370</v>
      </c>
      <c r="E133" s="160" t="s">
        <v>370</v>
      </c>
    </row>
    <row r="134" spans="1:5" ht="14.5" x14ac:dyDescent="0.35">
      <c r="A134" s="156" t="s">
        <v>370</v>
      </c>
      <c r="B134" s="157" t="s">
        <v>9</v>
      </c>
      <c r="C134" s="160" t="s">
        <v>378</v>
      </c>
      <c r="D134" s="160" t="s">
        <v>370</v>
      </c>
      <c r="E134" s="160" t="s">
        <v>370</v>
      </c>
    </row>
    <row r="135" spans="1:5" x14ac:dyDescent="0.25">
      <c r="A135" s="156">
        <v>2282</v>
      </c>
      <c r="B135" s="156" t="s">
        <v>57</v>
      </c>
      <c r="C135" s="159">
        <v>17500</v>
      </c>
      <c r="D135" s="159">
        <v>17500</v>
      </c>
      <c r="E135" s="159">
        <f>D135-C135</f>
        <v>0</v>
      </c>
    </row>
    <row r="136" spans="1:5" x14ac:dyDescent="0.25">
      <c r="A136" s="156">
        <v>2284</v>
      </c>
      <c r="B136" s="156" t="s">
        <v>58</v>
      </c>
      <c r="C136" s="159">
        <v>9000</v>
      </c>
      <c r="D136" s="159">
        <v>9187.5</v>
      </c>
      <c r="E136" s="159">
        <f>D136-C136</f>
        <v>187.5</v>
      </c>
    </row>
    <row r="137" spans="1:5" ht="14.5" x14ac:dyDescent="0.35">
      <c r="A137" s="156" t="s">
        <v>370</v>
      </c>
      <c r="B137" s="157" t="s">
        <v>115</v>
      </c>
      <c r="C137" s="154">
        <f>+SUM(C135:C136)</f>
        <v>26500</v>
      </c>
      <c r="D137" s="154">
        <f>+SUM(D135:D136)</f>
        <v>26687.5</v>
      </c>
      <c r="E137" s="154">
        <f>D137-C137</f>
        <v>187.5</v>
      </c>
    </row>
    <row r="138" spans="1:5" x14ac:dyDescent="0.25">
      <c r="A138" s="156" t="s">
        <v>370</v>
      </c>
      <c r="B138" s="156" t="s">
        <v>378</v>
      </c>
      <c r="C138" s="160" t="s">
        <v>378</v>
      </c>
      <c r="D138" s="160" t="s">
        <v>370</v>
      </c>
      <c r="E138" s="160" t="s">
        <v>370</v>
      </c>
    </row>
    <row r="139" spans="1:5" ht="14.5" x14ac:dyDescent="0.35">
      <c r="A139" s="156" t="s">
        <v>370</v>
      </c>
      <c r="B139" s="157" t="s">
        <v>11</v>
      </c>
      <c r="C139" s="160" t="s">
        <v>378</v>
      </c>
      <c r="D139" s="160" t="s">
        <v>370</v>
      </c>
      <c r="E139" s="160" t="s">
        <v>370</v>
      </c>
    </row>
    <row r="140" spans="1:5" x14ac:dyDescent="0.25">
      <c r="A140" s="156">
        <v>2292</v>
      </c>
      <c r="B140" s="156" t="s">
        <v>59</v>
      </c>
      <c r="C140" s="159">
        <v>0</v>
      </c>
      <c r="D140" s="159">
        <v>0</v>
      </c>
      <c r="E140" s="159">
        <f t="shared" ref="E140:E147" si="9">D140-C140</f>
        <v>0</v>
      </c>
    </row>
    <row r="141" spans="1:5" x14ac:dyDescent="0.25">
      <c r="A141" s="156">
        <v>2293</v>
      </c>
      <c r="B141" s="156" t="s">
        <v>214</v>
      </c>
      <c r="C141" s="159">
        <v>0</v>
      </c>
      <c r="D141" s="159">
        <v>0</v>
      </c>
      <c r="E141" s="159">
        <f t="shared" si="9"/>
        <v>0</v>
      </c>
    </row>
    <row r="142" spans="1:5" x14ac:dyDescent="0.25">
      <c r="A142" s="156">
        <v>2294</v>
      </c>
      <c r="B142" s="156" t="s">
        <v>60</v>
      </c>
      <c r="C142" s="159">
        <v>0</v>
      </c>
      <c r="D142" s="159">
        <v>0</v>
      </c>
      <c r="E142" s="159">
        <f t="shared" si="9"/>
        <v>0</v>
      </c>
    </row>
    <row r="143" spans="1:5" x14ac:dyDescent="0.25">
      <c r="A143" s="156">
        <v>2295</v>
      </c>
      <c r="B143" s="156" t="s">
        <v>61</v>
      </c>
      <c r="C143" s="159">
        <v>2000</v>
      </c>
      <c r="D143" s="159">
        <v>0</v>
      </c>
      <c r="E143" s="159">
        <f t="shared" si="9"/>
        <v>-2000</v>
      </c>
    </row>
    <row r="144" spans="1:5" ht="14.5" x14ac:dyDescent="0.35">
      <c r="A144" s="156" t="s">
        <v>370</v>
      </c>
      <c r="B144" s="157" t="s">
        <v>116</v>
      </c>
      <c r="C144" s="154">
        <f>+SUM(C140:C143)</f>
        <v>2000</v>
      </c>
      <c r="D144" s="154">
        <f>+SUM(D140:D143)</f>
        <v>0</v>
      </c>
      <c r="E144" s="154">
        <f t="shared" si="9"/>
        <v>-2000</v>
      </c>
    </row>
    <row r="145" spans="1:5" ht="14.5" x14ac:dyDescent="0.35">
      <c r="A145" s="156" t="s">
        <v>370</v>
      </c>
      <c r="B145" s="157" t="s">
        <v>117</v>
      </c>
      <c r="C145" s="154">
        <f>+SUM(C101:C102)+SUM(C105:C109)+SUM(C113:C117)+SUM(C121:C125)+SUM(C129:C131)+SUM(C135:C136)+SUM(C140:C143)</f>
        <v>469557.82000000007</v>
      </c>
      <c r="D145" s="154">
        <f>+SUM(D101:D102)+SUM(D105:D109)+SUM(D113:D117)+SUM(D121:D125)+SUM(D129:D131)+SUM(D135:D136)+SUM(D140:D143)</f>
        <v>447410.3</v>
      </c>
      <c r="E145" s="154">
        <f t="shared" si="9"/>
        <v>-22147.520000000077</v>
      </c>
    </row>
    <row r="146" spans="1:5" ht="14.5" x14ac:dyDescent="0.35">
      <c r="A146" s="156" t="s">
        <v>370</v>
      </c>
      <c r="B146" s="157" t="s">
        <v>118</v>
      </c>
      <c r="C146" s="154">
        <f>+SUM(C15:C21)+SUM(C25:C31)+SUM(C35:C44)+SUM(C48:C51)+SUM(C55:C67)+SUM(C69:C71)+SUM(C74:C79)+SUM(C83:C92)+SUM(C96:C96)+SUM(C101:C102)+SUM(C105:C109)+SUM(C113:C117)+SUM(C121:C125)+SUM(C129:C131)+SUM(C135:C136)+SUM(C140:C143)</f>
        <v>762105.65</v>
      </c>
      <c r="D146" s="154">
        <f>+SUM(D15:D21)+SUM(D25:D31)+SUM(D35:D44)+SUM(D48:D51)+SUM(D55:D67)+SUM(D69:D71)+SUM(D74:D79)+SUM(D83:D92)+SUM(D96:D96)+SUM(D101:D102)+SUM(D105:D109)+SUM(D113:D117)+SUM(D121:D125)+SUM(D129:D131)+SUM(D135:D136)+SUM(D140:D143)</f>
        <v>725958.44000000018</v>
      </c>
      <c r="E146" s="154">
        <f t="shared" si="9"/>
        <v>-36147.209999999846</v>
      </c>
    </row>
    <row r="147" spans="1:5" ht="14.5" x14ac:dyDescent="0.35">
      <c r="A147" s="156" t="s">
        <v>370</v>
      </c>
      <c r="B147" s="157" t="s">
        <v>215</v>
      </c>
      <c r="C147" s="154">
        <f>+SUM(C6:C9)+SUM(C15:C21)+SUM(C25:C31)+SUM(C35:C44)+SUM(C48:C51)+SUM(C55:C67)+SUM(C69:C71)+SUM(C74:C79)+SUM(C83:C92)+SUM(C96:C96)+SUM(C101:C102)+SUM(C105:C109)+SUM(C113:C117)+SUM(C121:C125)+SUM(C129:C131)+SUM(C135:C136)+SUM(C140:C143)</f>
        <v>85.650000000023283</v>
      </c>
      <c r="D147" s="154">
        <f>+SUM(D6:D9)+SUM(D15:D21)+SUM(D25:D31)+SUM(D35:D44)+SUM(D48:D51)+SUM(D55:D67)+SUM(D69:D71)+SUM(D74:D79)+SUM(D83:D92)+SUM(D96:D96)+SUM(D101:D102)+SUM(D105:D109)+SUM(D113:D117)+SUM(D121:D125)+SUM(D129:D131)+SUM(D135:D136)+SUM(D140:D143)</f>
        <v>-35761.560000000056</v>
      </c>
      <c r="E147" s="154">
        <f t="shared" si="9"/>
        <v>-35847.210000000079</v>
      </c>
    </row>
    <row r="148" spans="1:5" x14ac:dyDescent="0.25">
      <c r="A148" s="156" t="s">
        <v>370</v>
      </c>
      <c r="B148" s="156" t="s">
        <v>378</v>
      </c>
      <c r="C148" s="160" t="s">
        <v>378</v>
      </c>
      <c r="D148" s="160" t="s">
        <v>370</v>
      </c>
      <c r="E148" s="160" t="s">
        <v>370</v>
      </c>
    </row>
    <row r="149" spans="1:5" ht="14.5" x14ac:dyDescent="0.35">
      <c r="A149" s="156" t="s">
        <v>370</v>
      </c>
      <c r="B149" s="157" t="s">
        <v>119</v>
      </c>
      <c r="C149" s="160" t="s">
        <v>378</v>
      </c>
      <c r="D149" s="160" t="s">
        <v>370</v>
      </c>
      <c r="E149" s="160" t="s">
        <v>370</v>
      </c>
    </row>
    <row r="150" spans="1:5" x14ac:dyDescent="0.25">
      <c r="A150" s="156" t="s">
        <v>370</v>
      </c>
      <c r="B150" s="156" t="s">
        <v>378</v>
      </c>
      <c r="C150" s="160" t="s">
        <v>378</v>
      </c>
      <c r="D150" s="160" t="s">
        <v>370</v>
      </c>
      <c r="E150" s="160" t="s">
        <v>370</v>
      </c>
    </row>
    <row r="151" spans="1:5" ht="14.5" x14ac:dyDescent="0.35">
      <c r="A151" s="156" t="s">
        <v>370</v>
      </c>
      <c r="B151" s="157" t="s">
        <v>69</v>
      </c>
      <c r="C151" s="160" t="s">
        <v>378</v>
      </c>
      <c r="D151" s="160" t="s">
        <v>370</v>
      </c>
      <c r="E151" s="160" t="s">
        <v>370</v>
      </c>
    </row>
    <row r="152" spans="1:5" x14ac:dyDescent="0.25">
      <c r="A152" s="156">
        <v>3110</v>
      </c>
      <c r="B152" s="156" t="s">
        <v>62</v>
      </c>
      <c r="C152" s="159">
        <v>0</v>
      </c>
      <c r="D152" s="159">
        <v>-37901.96</v>
      </c>
      <c r="E152" s="159">
        <f t="shared" ref="E152:E159" si="10">D152-C152</f>
        <v>-37901.96</v>
      </c>
    </row>
    <row r="153" spans="1:5" x14ac:dyDescent="0.25">
      <c r="A153" s="156">
        <v>3120</v>
      </c>
      <c r="B153" s="156" t="s">
        <v>63</v>
      </c>
      <c r="C153" s="159">
        <v>0</v>
      </c>
      <c r="D153" s="159">
        <v>-2844.67</v>
      </c>
      <c r="E153" s="159">
        <f t="shared" si="10"/>
        <v>-2844.67</v>
      </c>
    </row>
    <row r="154" spans="1:5" x14ac:dyDescent="0.25">
      <c r="A154" s="156">
        <v>3140</v>
      </c>
      <c r="B154" s="156" t="s">
        <v>64</v>
      </c>
      <c r="C154" s="159">
        <v>0</v>
      </c>
      <c r="D154" s="159">
        <v>24188.29</v>
      </c>
      <c r="E154" s="159">
        <f t="shared" si="10"/>
        <v>24188.29</v>
      </c>
    </row>
    <row r="155" spans="1:5" x14ac:dyDescent="0.25">
      <c r="A155" s="156">
        <v>3150</v>
      </c>
      <c r="B155" s="156" t="s">
        <v>51</v>
      </c>
      <c r="C155" s="159">
        <v>0</v>
      </c>
      <c r="D155" s="159">
        <v>2517</v>
      </c>
      <c r="E155" s="159">
        <f t="shared" si="10"/>
        <v>2517</v>
      </c>
    </row>
    <row r="156" spans="1:5" x14ac:dyDescent="0.25">
      <c r="A156" s="156">
        <v>3160</v>
      </c>
      <c r="B156" s="156" t="s">
        <v>65</v>
      </c>
      <c r="C156" s="159">
        <v>0</v>
      </c>
      <c r="D156" s="159">
        <v>2931</v>
      </c>
      <c r="E156" s="159">
        <f t="shared" si="10"/>
        <v>2931</v>
      </c>
    </row>
    <row r="157" spans="1:5" x14ac:dyDescent="0.25">
      <c r="A157" s="156">
        <v>3170</v>
      </c>
      <c r="B157" s="156" t="s">
        <v>53</v>
      </c>
      <c r="C157" s="159">
        <v>0</v>
      </c>
      <c r="D157" s="159">
        <v>11003</v>
      </c>
      <c r="E157" s="159">
        <f t="shared" si="10"/>
        <v>11003</v>
      </c>
    </row>
    <row r="158" spans="1:5" x14ac:dyDescent="0.25">
      <c r="A158" s="156">
        <v>3180</v>
      </c>
      <c r="B158" s="156" t="s">
        <v>66</v>
      </c>
      <c r="C158" s="159">
        <v>0</v>
      </c>
      <c r="D158" s="159">
        <v>107.3</v>
      </c>
      <c r="E158" s="159">
        <f t="shared" si="10"/>
        <v>107.3</v>
      </c>
    </row>
    <row r="159" spans="1:5" ht="14.5" x14ac:dyDescent="0.35">
      <c r="A159" s="156" t="s">
        <v>370</v>
      </c>
      <c r="B159" s="157" t="s">
        <v>120</v>
      </c>
      <c r="C159" s="154">
        <f>+SUM(C152:C158)</f>
        <v>0</v>
      </c>
      <c r="D159" s="154">
        <f>+SUM(D152:D158)</f>
        <v>-3.9999999996510383E-2</v>
      </c>
      <c r="E159" s="154">
        <f t="shared" si="10"/>
        <v>-3.9999999996510383E-2</v>
      </c>
    </row>
    <row r="160" spans="1:5" x14ac:dyDescent="0.25">
      <c r="A160" s="156" t="s">
        <v>370</v>
      </c>
      <c r="B160" s="156" t="s">
        <v>378</v>
      </c>
      <c r="C160" s="160" t="s">
        <v>378</v>
      </c>
      <c r="D160" s="160" t="s">
        <v>370</v>
      </c>
      <c r="E160" s="160" t="s">
        <v>370</v>
      </c>
    </row>
    <row r="161" spans="1:5" ht="14.5" x14ac:dyDescent="0.35">
      <c r="A161" s="156" t="s">
        <v>370</v>
      </c>
      <c r="B161" s="157" t="s">
        <v>53</v>
      </c>
      <c r="C161" s="160" t="s">
        <v>378</v>
      </c>
      <c r="D161" s="160" t="s">
        <v>370</v>
      </c>
      <c r="E161" s="160" t="s">
        <v>370</v>
      </c>
    </row>
    <row r="162" spans="1:5" x14ac:dyDescent="0.25">
      <c r="A162" s="156">
        <v>3210</v>
      </c>
      <c r="B162" s="156" t="s">
        <v>67</v>
      </c>
      <c r="C162" s="159">
        <v>0</v>
      </c>
      <c r="D162" s="159">
        <v>-107746</v>
      </c>
      <c r="E162" s="159">
        <f>D162-C162</f>
        <v>-107746</v>
      </c>
    </row>
    <row r="163" spans="1:5" x14ac:dyDescent="0.25">
      <c r="A163" s="156">
        <v>3220</v>
      </c>
      <c r="B163" s="156" t="s">
        <v>68</v>
      </c>
      <c r="C163" s="159">
        <v>0</v>
      </c>
      <c r="D163" s="159">
        <v>-23392</v>
      </c>
      <c r="E163" s="159">
        <f>D163-C163</f>
        <v>-23392</v>
      </c>
    </row>
    <row r="164" spans="1:5" x14ac:dyDescent="0.25">
      <c r="A164" s="156">
        <v>3230</v>
      </c>
      <c r="B164" s="156" t="s">
        <v>216</v>
      </c>
      <c r="C164" s="159">
        <v>0</v>
      </c>
      <c r="D164" s="159">
        <v>-11003</v>
      </c>
      <c r="E164" s="159">
        <f>D164-C164</f>
        <v>-11003</v>
      </c>
    </row>
    <row r="165" spans="1:5" x14ac:dyDescent="0.25">
      <c r="A165" s="156">
        <v>3240</v>
      </c>
      <c r="B165" s="156" t="s">
        <v>70</v>
      </c>
      <c r="C165" s="159">
        <v>0</v>
      </c>
      <c r="D165" s="159">
        <v>145195.51999999999</v>
      </c>
      <c r="E165" s="159">
        <f>D165-C165</f>
        <v>145195.51999999999</v>
      </c>
    </row>
    <row r="166" spans="1:5" ht="14.5" x14ac:dyDescent="0.35">
      <c r="A166" s="156" t="s">
        <v>370</v>
      </c>
      <c r="B166" s="157" t="s">
        <v>121</v>
      </c>
      <c r="C166" s="154">
        <f>+SUM(C162:C165)</f>
        <v>0</v>
      </c>
      <c r="D166" s="154">
        <f>+SUM(D162:D165)</f>
        <v>3054.5199999999895</v>
      </c>
      <c r="E166" s="154">
        <f>D166-C166</f>
        <v>3054.5199999999895</v>
      </c>
    </row>
    <row r="167" spans="1:5" x14ac:dyDescent="0.25">
      <c r="A167" s="156" t="s">
        <v>370</v>
      </c>
      <c r="B167" s="156" t="s">
        <v>378</v>
      </c>
      <c r="C167" s="160" t="s">
        <v>378</v>
      </c>
      <c r="D167" s="160" t="s">
        <v>370</v>
      </c>
      <c r="E167" s="160" t="s">
        <v>370</v>
      </c>
    </row>
    <row r="168" spans="1:5" ht="14.5" x14ac:dyDescent="0.35">
      <c r="A168" s="156" t="s">
        <v>370</v>
      </c>
      <c r="B168" s="157" t="s">
        <v>182</v>
      </c>
      <c r="C168" s="160" t="s">
        <v>378</v>
      </c>
      <c r="D168" s="160" t="s">
        <v>370</v>
      </c>
      <c r="E168" s="160" t="s">
        <v>370</v>
      </c>
    </row>
    <row r="169" spans="1:5" x14ac:dyDescent="0.25">
      <c r="A169" s="156">
        <v>3310</v>
      </c>
      <c r="B169" s="156" t="s">
        <v>71</v>
      </c>
      <c r="C169" s="159">
        <v>0</v>
      </c>
      <c r="D169" s="159">
        <v>-267186</v>
      </c>
      <c r="E169" s="159">
        <f>D169-C169</f>
        <v>-267186</v>
      </c>
    </row>
    <row r="170" spans="1:5" x14ac:dyDescent="0.25">
      <c r="A170" s="156">
        <v>3320</v>
      </c>
      <c r="B170" s="156" t="s">
        <v>72</v>
      </c>
      <c r="C170" s="159">
        <v>0</v>
      </c>
      <c r="D170" s="159">
        <v>-24785</v>
      </c>
      <c r="E170" s="159">
        <f>D170-C170</f>
        <v>-24785</v>
      </c>
    </row>
    <row r="171" spans="1:5" x14ac:dyDescent="0.25">
      <c r="A171" s="156">
        <v>3330</v>
      </c>
      <c r="B171" s="156" t="s">
        <v>73</v>
      </c>
      <c r="C171" s="159">
        <v>0</v>
      </c>
      <c r="D171" s="159">
        <v>-2931</v>
      </c>
      <c r="E171" s="159">
        <f>D171-C171</f>
        <v>-2931</v>
      </c>
    </row>
    <row r="172" spans="1:5" x14ac:dyDescent="0.25">
      <c r="A172" s="156">
        <v>3340</v>
      </c>
      <c r="B172" s="156" t="s">
        <v>74</v>
      </c>
      <c r="C172" s="159">
        <v>0</v>
      </c>
      <c r="D172" s="159">
        <v>326943.23</v>
      </c>
      <c r="E172" s="159">
        <f>D172-C172</f>
        <v>326943.23</v>
      </c>
    </row>
    <row r="173" spans="1:5" ht="14.5" x14ac:dyDescent="0.35">
      <c r="A173" s="156" t="s">
        <v>370</v>
      </c>
      <c r="B173" s="157" t="s">
        <v>122</v>
      </c>
      <c r="C173" s="154">
        <f>+SUM(C169:C172)</f>
        <v>0</v>
      </c>
      <c r="D173" s="154">
        <f>+SUM(D169:D172)</f>
        <v>32041.229999999981</v>
      </c>
      <c r="E173" s="154">
        <f>D173-C173</f>
        <v>32041.229999999981</v>
      </c>
    </row>
    <row r="174" spans="1:5" x14ac:dyDescent="0.25">
      <c r="A174" s="156" t="s">
        <v>370</v>
      </c>
      <c r="B174" s="156" t="s">
        <v>378</v>
      </c>
      <c r="C174" s="160" t="s">
        <v>378</v>
      </c>
      <c r="D174" s="160" t="s">
        <v>370</v>
      </c>
      <c r="E174" s="160" t="s">
        <v>370</v>
      </c>
    </row>
    <row r="175" spans="1:5" ht="14.5" x14ac:dyDescent="0.35">
      <c r="A175" s="156" t="s">
        <v>370</v>
      </c>
      <c r="B175" s="157" t="s">
        <v>15</v>
      </c>
      <c r="C175" s="160" t="s">
        <v>378</v>
      </c>
      <c r="D175" s="160" t="s">
        <v>370</v>
      </c>
      <c r="E175" s="160" t="s">
        <v>370</v>
      </c>
    </row>
    <row r="176" spans="1:5" x14ac:dyDescent="0.25">
      <c r="A176" s="156">
        <v>3410</v>
      </c>
      <c r="B176" s="156" t="s">
        <v>75</v>
      </c>
      <c r="C176" s="159">
        <v>0</v>
      </c>
      <c r="D176" s="159">
        <v>-67748.84</v>
      </c>
      <c r="E176" s="159">
        <f>D176-C176</f>
        <v>-67748.84</v>
      </c>
    </row>
    <row r="177" spans="1:5" x14ac:dyDescent="0.25">
      <c r="A177" s="156">
        <v>3420</v>
      </c>
      <c r="B177" s="156" t="s">
        <v>76</v>
      </c>
      <c r="C177" s="159">
        <v>0</v>
      </c>
      <c r="D177" s="159">
        <v>-11093.79</v>
      </c>
      <c r="E177" s="159">
        <f>D177-C177</f>
        <v>-11093.79</v>
      </c>
    </row>
    <row r="178" spans="1:5" x14ac:dyDescent="0.25">
      <c r="A178" s="156">
        <v>3430</v>
      </c>
      <c r="B178" s="156" t="s">
        <v>77</v>
      </c>
      <c r="C178" s="159">
        <v>0</v>
      </c>
      <c r="D178" s="159">
        <v>78842.63</v>
      </c>
      <c r="E178" s="159">
        <f>D178-C178</f>
        <v>78842.63</v>
      </c>
    </row>
    <row r="179" spans="1:5" ht="14.5" x14ac:dyDescent="0.35">
      <c r="A179" s="156" t="s">
        <v>370</v>
      </c>
      <c r="B179" s="157" t="s">
        <v>123</v>
      </c>
      <c r="C179" s="154">
        <f>+SUM(C176:C178)</f>
        <v>0</v>
      </c>
      <c r="D179" s="154">
        <f>+SUM(D176:D178)</f>
        <v>0</v>
      </c>
      <c r="E179" s="154">
        <f>D179-C179</f>
        <v>0</v>
      </c>
    </row>
    <row r="180" spans="1:5" x14ac:dyDescent="0.25">
      <c r="A180" s="156" t="s">
        <v>370</v>
      </c>
      <c r="B180" s="156" t="s">
        <v>378</v>
      </c>
      <c r="C180" s="160" t="s">
        <v>378</v>
      </c>
      <c r="D180" s="160" t="s">
        <v>370</v>
      </c>
      <c r="E180" s="160" t="s">
        <v>370</v>
      </c>
    </row>
    <row r="181" spans="1:5" ht="14.5" x14ac:dyDescent="0.35">
      <c r="A181" s="156" t="s">
        <v>370</v>
      </c>
      <c r="B181" s="157" t="s">
        <v>12</v>
      </c>
      <c r="C181" s="160" t="s">
        <v>378</v>
      </c>
      <c r="D181" s="160" t="s">
        <v>370</v>
      </c>
      <c r="E181" s="160" t="s">
        <v>370</v>
      </c>
    </row>
    <row r="182" spans="1:5" x14ac:dyDescent="0.25">
      <c r="A182" s="156">
        <v>3510</v>
      </c>
      <c r="B182" s="156" t="s">
        <v>78</v>
      </c>
      <c r="C182" s="159">
        <v>0</v>
      </c>
      <c r="D182" s="159">
        <v>-69718.22</v>
      </c>
      <c r="E182" s="159">
        <f>D182-C182</f>
        <v>-69718.22</v>
      </c>
    </row>
    <row r="183" spans="1:5" x14ac:dyDescent="0.25">
      <c r="A183" s="156">
        <v>3520</v>
      </c>
      <c r="B183" s="156" t="s">
        <v>79</v>
      </c>
      <c r="C183" s="159">
        <v>0</v>
      </c>
      <c r="D183" s="159">
        <v>-5122.32</v>
      </c>
      <c r="E183" s="159">
        <f>D183-C183</f>
        <v>-5122.32</v>
      </c>
    </row>
    <row r="184" spans="1:5" x14ac:dyDescent="0.25">
      <c r="A184" s="156">
        <v>3530</v>
      </c>
      <c r="B184" s="156" t="s">
        <v>80</v>
      </c>
      <c r="C184" s="159">
        <v>0</v>
      </c>
      <c r="D184" s="159">
        <v>74831.199999999997</v>
      </c>
      <c r="E184" s="159">
        <f>D184-C184</f>
        <v>74831.199999999997</v>
      </c>
    </row>
    <row r="185" spans="1:5" ht="14.5" x14ac:dyDescent="0.35">
      <c r="A185" s="156" t="s">
        <v>370</v>
      </c>
      <c r="B185" s="157" t="s">
        <v>124</v>
      </c>
      <c r="C185" s="154">
        <f>+SUM(C182:C184)</f>
        <v>0</v>
      </c>
      <c r="D185" s="154">
        <f>+SUM(D182:D184)</f>
        <v>-9.3400000000110595</v>
      </c>
      <c r="E185" s="154">
        <f>D185-C185</f>
        <v>-9.3400000000110595</v>
      </c>
    </row>
    <row r="186" spans="1:5" x14ac:dyDescent="0.25">
      <c r="A186" s="156" t="s">
        <v>370</v>
      </c>
      <c r="B186" s="156" t="s">
        <v>378</v>
      </c>
      <c r="C186" s="160" t="s">
        <v>378</v>
      </c>
      <c r="D186" s="160" t="s">
        <v>370</v>
      </c>
      <c r="E186" s="160" t="s">
        <v>370</v>
      </c>
    </row>
    <row r="187" spans="1:5" ht="14.5" x14ac:dyDescent="0.35">
      <c r="A187" s="156" t="s">
        <v>370</v>
      </c>
      <c r="B187" s="157" t="s">
        <v>5</v>
      </c>
      <c r="C187" s="160" t="s">
        <v>378</v>
      </c>
      <c r="D187" s="160" t="s">
        <v>370</v>
      </c>
      <c r="E187" s="160" t="s">
        <v>370</v>
      </c>
    </row>
    <row r="188" spans="1:5" x14ac:dyDescent="0.25">
      <c r="A188" s="156">
        <v>3610</v>
      </c>
      <c r="B188" s="156" t="s">
        <v>359</v>
      </c>
      <c r="C188" s="159">
        <v>0</v>
      </c>
      <c r="D188" s="159">
        <v>-8205</v>
      </c>
      <c r="E188" s="159">
        <f>D188-C188</f>
        <v>-8205</v>
      </c>
    </row>
    <row r="189" spans="1:5" x14ac:dyDescent="0.25">
      <c r="A189" s="156">
        <v>3620</v>
      </c>
      <c r="B189" s="156" t="s">
        <v>360</v>
      </c>
      <c r="C189" s="159">
        <v>0</v>
      </c>
      <c r="D189" s="159">
        <v>-6845</v>
      </c>
      <c r="E189" s="159">
        <f>D189-C189</f>
        <v>-6845</v>
      </c>
    </row>
    <row r="190" spans="1:5" x14ac:dyDescent="0.25">
      <c r="A190" s="156">
        <v>3625</v>
      </c>
      <c r="B190" s="156" t="s">
        <v>229</v>
      </c>
      <c r="C190" s="159">
        <v>0</v>
      </c>
      <c r="D190" s="159">
        <v>1533</v>
      </c>
      <c r="E190" s="159">
        <f>D190-C190</f>
        <v>1533</v>
      </c>
    </row>
    <row r="191" spans="1:5" x14ac:dyDescent="0.25">
      <c r="A191" s="156">
        <v>3630</v>
      </c>
      <c r="B191" s="156" t="s">
        <v>81</v>
      </c>
      <c r="C191" s="159">
        <v>0</v>
      </c>
      <c r="D191" s="159">
        <v>12831.6</v>
      </c>
      <c r="E191" s="159">
        <f>D191-C191</f>
        <v>12831.6</v>
      </c>
    </row>
    <row r="192" spans="1:5" ht="14.5" x14ac:dyDescent="0.35">
      <c r="A192" s="156" t="s">
        <v>370</v>
      </c>
      <c r="B192" s="157" t="s">
        <v>125</v>
      </c>
      <c r="C192" s="154">
        <f>+SUM(C188:C191)</f>
        <v>0</v>
      </c>
      <c r="D192" s="154">
        <f>+SUM(D188:D191)</f>
        <v>-685.39999999999964</v>
      </c>
      <c r="E192" s="154">
        <f>D192-C192</f>
        <v>-685.39999999999964</v>
      </c>
    </row>
    <row r="193" spans="1:5" x14ac:dyDescent="0.25">
      <c r="A193" s="156" t="s">
        <v>370</v>
      </c>
      <c r="B193" s="156" t="s">
        <v>378</v>
      </c>
      <c r="C193" s="160" t="s">
        <v>378</v>
      </c>
      <c r="D193" s="160" t="s">
        <v>370</v>
      </c>
      <c r="E193" s="160" t="s">
        <v>370</v>
      </c>
    </row>
    <row r="194" spans="1:5" ht="14.5" x14ac:dyDescent="0.35">
      <c r="A194" s="156" t="s">
        <v>370</v>
      </c>
      <c r="B194" s="157" t="s">
        <v>126</v>
      </c>
      <c r="C194" s="160" t="s">
        <v>378</v>
      </c>
      <c r="D194" s="160" t="s">
        <v>370</v>
      </c>
      <c r="E194" s="160" t="s">
        <v>370</v>
      </c>
    </row>
    <row r="195" spans="1:5" x14ac:dyDescent="0.25">
      <c r="A195" s="156">
        <v>3710</v>
      </c>
      <c r="B195" s="156" t="s">
        <v>82</v>
      </c>
      <c r="C195" s="159">
        <v>0</v>
      </c>
      <c r="D195" s="159">
        <v>0</v>
      </c>
      <c r="E195" s="159">
        <f>D195-C195</f>
        <v>0</v>
      </c>
    </row>
    <row r="196" spans="1:5" x14ac:dyDescent="0.25">
      <c r="A196" s="156">
        <v>3720</v>
      </c>
      <c r="B196" s="156" t="s">
        <v>361</v>
      </c>
      <c r="C196" s="159">
        <v>0</v>
      </c>
      <c r="D196" s="159">
        <v>0</v>
      </c>
      <c r="E196" s="159">
        <f>D196-C196</f>
        <v>0</v>
      </c>
    </row>
    <row r="197" spans="1:5" x14ac:dyDescent="0.25">
      <c r="A197" s="156">
        <v>3730</v>
      </c>
      <c r="B197" s="156" t="s">
        <v>83</v>
      </c>
      <c r="C197" s="159">
        <v>0</v>
      </c>
      <c r="D197" s="159">
        <v>0</v>
      </c>
      <c r="E197" s="159">
        <f>D197-C197</f>
        <v>0</v>
      </c>
    </row>
    <row r="198" spans="1:5" ht="14.5" x14ac:dyDescent="0.35">
      <c r="A198" s="156" t="s">
        <v>370</v>
      </c>
      <c r="B198" s="157" t="s">
        <v>127</v>
      </c>
      <c r="C198" s="154">
        <f>+SUM(C195:C197)</f>
        <v>0</v>
      </c>
      <c r="D198" s="154">
        <f>+SUM(D195:D197)</f>
        <v>0</v>
      </c>
      <c r="E198" s="154">
        <f>D198-C198</f>
        <v>0</v>
      </c>
    </row>
    <row r="199" spans="1:5" x14ac:dyDescent="0.25">
      <c r="A199" s="156" t="s">
        <v>370</v>
      </c>
      <c r="B199" s="156" t="s">
        <v>378</v>
      </c>
      <c r="C199" s="160" t="s">
        <v>378</v>
      </c>
      <c r="D199" s="160" t="s">
        <v>370</v>
      </c>
      <c r="E199" s="160" t="s">
        <v>370</v>
      </c>
    </row>
    <row r="200" spans="1:5" ht="14.5" x14ac:dyDescent="0.35">
      <c r="A200" s="156" t="s">
        <v>370</v>
      </c>
      <c r="B200" s="157" t="s">
        <v>202</v>
      </c>
      <c r="C200" s="160" t="s">
        <v>378</v>
      </c>
      <c r="D200" s="160" t="s">
        <v>370</v>
      </c>
      <c r="E200" s="160" t="s">
        <v>370</v>
      </c>
    </row>
    <row r="201" spans="1:5" x14ac:dyDescent="0.25">
      <c r="A201" s="156">
        <v>3910</v>
      </c>
      <c r="B201" s="156" t="s">
        <v>204</v>
      </c>
      <c r="C201" s="159">
        <v>0</v>
      </c>
      <c r="D201" s="159">
        <v>-9882.6200000000008</v>
      </c>
      <c r="E201" s="159">
        <f t="shared" ref="E201:E206" si="11">D201-C201</f>
        <v>-9882.6200000000008</v>
      </c>
    </row>
    <row r="202" spans="1:5" x14ac:dyDescent="0.25">
      <c r="A202" s="156">
        <v>3920</v>
      </c>
      <c r="B202" s="156" t="s">
        <v>362</v>
      </c>
      <c r="C202" s="159">
        <v>0</v>
      </c>
      <c r="D202" s="159">
        <v>-870</v>
      </c>
      <c r="E202" s="159">
        <f t="shared" si="11"/>
        <v>-870</v>
      </c>
    </row>
    <row r="203" spans="1:5" x14ac:dyDescent="0.25">
      <c r="A203" s="156">
        <v>3930</v>
      </c>
      <c r="B203" s="156" t="s">
        <v>205</v>
      </c>
      <c r="C203" s="159">
        <v>0</v>
      </c>
      <c r="D203" s="159">
        <v>10756.85</v>
      </c>
      <c r="E203" s="159">
        <f t="shared" si="11"/>
        <v>10756.85</v>
      </c>
    </row>
    <row r="204" spans="1:5" ht="14.5" x14ac:dyDescent="0.35">
      <c r="A204" s="156" t="s">
        <v>370</v>
      </c>
      <c r="B204" s="157" t="s">
        <v>206</v>
      </c>
      <c r="C204" s="154">
        <f>+SUM(C201:C203)</f>
        <v>0</v>
      </c>
      <c r="D204" s="154">
        <f>+SUM(D201:D203)</f>
        <v>4.2299999999995634</v>
      </c>
      <c r="E204" s="154">
        <f t="shared" si="11"/>
        <v>4.2299999999995634</v>
      </c>
    </row>
    <row r="205" spans="1:5" ht="14.5" x14ac:dyDescent="0.35">
      <c r="A205" s="156" t="s">
        <v>370</v>
      </c>
      <c r="B205" s="157" t="s">
        <v>203</v>
      </c>
      <c r="C205" s="154">
        <f>+SUM(C152:C158)+SUM(C162:C165)+SUM(C169:C172)+SUM(C176:C178)+SUM(C182:C184)+SUM(C188:C191)+SUM(C195:C197)+SUM(C201:C203)</f>
        <v>0</v>
      </c>
      <c r="D205" s="154">
        <f>+SUM(D152:D158)+SUM(D162:D165)+SUM(D169:D172)+SUM(D176:D178)+SUM(D182:D184)+SUM(D188:D191)+SUM(D195:D197)+SUM(D201:D203)</f>
        <v>34405.199999999968</v>
      </c>
      <c r="E205" s="154">
        <f t="shared" si="11"/>
        <v>34405.199999999968</v>
      </c>
    </row>
    <row r="206" spans="1:5" ht="14.5" x14ac:dyDescent="0.35">
      <c r="A206" s="156" t="s">
        <v>370</v>
      </c>
      <c r="B206" s="157" t="s">
        <v>130</v>
      </c>
      <c r="C206" s="154">
        <f>+SUM(C6:C9)+SUM(C15:C21)+SUM(C25:C31)+SUM(C35:C44)+SUM(C48:C51)+SUM(C55:C67)+SUM(C69:C71)+SUM(C74:C79)+SUM(C83:C92)+SUM(C96:C96)+SUM(C101:C102)+SUM(C105:C109)+SUM(C113:C117)+SUM(C121:C125)+SUM(C129:C131)+SUM(C135:C136)+SUM(C140:C143)+SUM(C152:C158)+SUM(C162:C165)+SUM(C169:C172)+SUM(C176:C178)+SUM(C182:C184)+SUM(C188:C191)+SUM(C195:C197)+SUM(C201:C203)</f>
        <v>85.650000000023283</v>
      </c>
      <c r="D206" s="154">
        <f>+SUM(D6:D9)+SUM(D15:D21)+SUM(D25:D31)+SUM(D35:D44)+SUM(D48:D51)+SUM(D55:D67)+SUM(D69:D71)+SUM(D74:D79)+SUM(D83:D92)+SUM(D96:D96)+SUM(D101:D102)+SUM(D105:D109)+SUM(D113:D117)+SUM(D121:D125)+SUM(D129:D131)+SUM(D135:D136)+SUM(D140:D143)+SUM(D152:D158)+SUM(D162:D165)+SUM(D169:D172)+SUM(D176:D178)+SUM(D182:D184)+SUM(D188:D191)+SUM(D195:D197)+SUM(D201:D203)</f>
        <v>-1356.3600000000897</v>
      </c>
      <c r="E206" s="154">
        <f t="shared" si="11"/>
        <v>-1442.010000000113</v>
      </c>
    </row>
    <row r="207" spans="1:5" x14ac:dyDescent="0.25">
      <c r="A207" s="156" t="s">
        <v>370</v>
      </c>
    </row>
    <row r="208" spans="1:5" ht="14.5" x14ac:dyDescent="0.35">
      <c r="A208" s="156" t="s">
        <v>370</v>
      </c>
      <c r="B208" s="157" t="s">
        <v>131</v>
      </c>
      <c r="C208" s="160" t="s">
        <v>378</v>
      </c>
      <c r="D208" s="160" t="s">
        <v>370</v>
      </c>
      <c r="E208" s="160" t="s">
        <v>370</v>
      </c>
    </row>
    <row r="209" spans="1:5" x14ac:dyDescent="0.25">
      <c r="A209" s="156" t="s">
        <v>370</v>
      </c>
      <c r="B209" s="156" t="s">
        <v>378</v>
      </c>
      <c r="C209" s="160" t="s">
        <v>378</v>
      </c>
      <c r="D209" s="160" t="s">
        <v>370</v>
      </c>
      <c r="E209" s="160" t="s">
        <v>370</v>
      </c>
    </row>
    <row r="210" spans="1:5" ht="14.5" x14ac:dyDescent="0.35">
      <c r="A210" s="156" t="s">
        <v>370</v>
      </c>
      <c r="B210" s="157" t="s">
        <v>132</v>
      </c>
      <c r="C210" s="160" t="s">
        <v>378</v>
      </c>
      <c r="D210" s="160" t="s">
        <v>370</v>
      </c>
      <c r="E210" s="160" t="s">
        <v>370</v>
      </c>
    </row>
    <row r="211" spans="1:5" x14ac:dyDescent="0.25">
      <c r="A211" s="156" t="s">
        <v>370</v>
      </c>
      <c r="B211" s="156" t="s">
        <v>378</v>
      </c>
      <c r="C211" s="160" t="s">
        <v>378</v>
      </c>
      <c r="D211" s="160" t="s">
        <v>370</v>
      </c>
      <c r="E211" s="160" t="s">
        <v>370</v>
      </c>
    </row>
    <row r="212" spans="1:5" ht="14.5" x14ac:dyDescent="0.35">
      <c r="A212" s="156" t="s">
        <v>370</v>
      </c>
      <c r="B212" s="157" t="s">
        <v>286</v>
      </c>
      <c r="C212" s="160" t="s">
        <v>378</v>
      </c>
      <c r="D212" s="160" t="s">
        <v>370</v>
      </c>
      <c r="E212" s="160" t="s">
        <v>370</v>
      </c>
    </row>
    <row r="213" spans="1:5" x14ac:dyDescent="0.25">
      <c r="A213" s="156">
        <v>5101</v>
      </c>
      <c r="B213" s="156" t="s">
        <v>200</v>
      </c>
      <c r="C213" s="159">
        <v>0</v>
      </c>
      <c r="D213" s="159">
        <v>-7.0000000000000007E-2</v>
      </c>
      <c r="E213" s="159">
        <f t="shared" ref="E213:E218" si="12">D213-C213</f>
        <v>-7.0000000000000007E-2</v>
      </c>
    </row>
    <row r="214" spans="1:5" x14ac:dyDescent="0.25">
      <c r="A214" s="156">
        <v>5102</v>
      </c>
      <c r="B214" s="156" t="s">
        <v>49</v>
      </c>
      <c r="C214" s="159">
        <v>0</v>
      </c>
      <c r="D214" s="159">
        <v>55832.49</v>
      </c>
      <c r="E214" s="159">
        <f t="shared" si="12"/>
        <v>55832.49</v>
      </c>
    </row>
    <row r="215" spans="1:5" x14ac:dyDescent="0.25">
      <c r="A215" s="156">
        <v>5104</v>
      </c>
      <c r="B215" s="156" t="s">
        <v>201</v>
      </c>
      <c r="C215" s="159">
        <v>0</v>
      </c>
      <c r="D215" s="159">
        <v>0</v>
      </c>
      <c r="E215" s="159">
        <f t="shared" si="12"/>
        <v>0</v>
      </c>
    </row>
    <row r="216" spans="1:5" x14ac:dyDescent="0.25">
      <c r="A216" s="156">
        <v>5106</v>
      </c>
      <c r="B216" s="156" t="s">
        <v>134</v>
      </c>
      <c r="C216" s="159">
        <v>0</v>
      </c>
      <c r="D216" s="159">
        <v>0</v>
      </c>
      <c r="E216" s="159">
        <f t="shared" si="12"/>
        <v>0</v>
      </c>
    </row>
    <row r="217" spans="1:5" x14ac:dyDescent="0.25">
      <c r="A217" s="156">
        <v>5108</v>
      </c>
      <c r="B217" s="156" t="s">
        <v>261</v>
      </c>
      <c r="C217" s="159">
        <v>0</v>
      </c>
      <c r="D217" s="159">
        <v>-0.12</v>
      </c>
      <c r="E217" s="159">
        <f t="shared" si="12"/>
        <v>-0.12</v>
      </c>
    </row>
    <row r="218" spans="1:5" ht="14.5" x14ac:dyDescent="0.35">
      <c r="A218" s="156" t="s">
        <v>370</v>
      </c>
      <c r="B218" s="157" t="s">
        <v>287</v>
      </c>
      <c r="C218" s="154">
        <f>+SUM(C213:C217)</f>
        <v>0</v>
      </c>
      <c r="D218" s="154">
        <f>+SUM(D213:D217)</f>
        <v>55832.299999999996</v>
      </c>
      <c r="E218" s="154">
        <f t="shared" si="12"/>
        <v>55832.299999999996</v>
      </c>
    </row>
    <row r="219" spans="1:5" x14ac:dyDescent="0.25">
      <c r="A219" s="156" t="s">
        <v>370</v>
      </c>
      <c r="B219" s="156" t="s">
        <v>378</v>
      </c>
      <c r="C219" s="160" t="s">
        <v>378</v>
      </c>
      <c r="D219" s="160" t="s">
        <v>370</v>
      </c>
      <c r="E219" s="160" t="s">
        <v>370</v>
      </c>
    </row>
    <row r="220" spans="1:5" ht="14.5" x14ac:dyDescent="0.35">
      <c r="A220" s="156" t="s">
        <v>370</v>
      </c>
      <c r="B220" s="157" t="s">
        <v>136</v>
      </c>
      <c r="C220" s="160" t="s">
        <v>378</v>
      </c>
      <c r="D220" s="160" t="s">
        <v>370</v>
      </c>
      <c r="E220" s="160" t="s">
        <v>370</v>
      </c>
    </row>
    <row r="221" spans="1:5" x14ac:dyDescent="0.25">
      <c r="A221" s="156">
        <v>5221</v>
      </c>
      <c r="B221" s="156" t="s">
        <v>190</v>
      </c>
      <c r="C221" s="159">
        <v>0</v>
      </c>
      <c r="D221" s="159">
        <v>690000</v>
      </c>
      <c r="E221" s="159">
        <f t="shared" ref="E221:E226" si="13">D221-C221</f>
        <v>690000</v>
      </c>
    </row>
    <row r="222" spans="1:5" x14ac:dyDescent="0.25">
      <c r="A222" s="156">
        <v>5222</v>
      </c>
      <c r="B222" s="156" t="s">
        <v>220</v>
      </c>
      <c r="C222" s="159">
        <v>0</v>
      </c>
      <c r="D222" s="159">
        <v>2500000</v>
      </c>
      <c r="E222" s="159">
        <f t="shared" si="13"/>
        <v>2500000</v>
      </c>
    </row>
    <row r="223" spans="1:5" x14ac:dyDescent="0.25">
      <c r="A223" s="156">
        <v>5223</v>
      </c>
      <c r="B223" s="156" t="s">
        <v>191</v>
      </c>
      <c r="C223" s="159">
        <v>0</v>
      </c>
      <c r="D223" s="159">
        <v>2350000</v>
      </c>
      <c r="E223" s="159">
        <f t="shared" si="13"/>
        <v>2350000</v>
      </c>
    </row>
    <row r="224" spans="1:5" ht="14.5" x14ac:dyDescent="0.35">
      <c r="A224" s="156" t="s">
        <v>370</v>
      </c>
      <c r="B224" s="157" t="s">
        <v>137</v>
      </c>
      <c r="C224" s="154">
        <f>+SUM(C221:C223)</f>
        <v>0</v>
      </c>
      <c r="D224" s="154">
        <f>+SUM(D221:D223)</f>
        <v>5540000</v>
      </c>
      <c r="E224" s="154">
        <f t="shared" si="13"/>
        <v>5540000</v>
      </c>
    </row>
    <row r="225" spans="1:5" x14ac:dyDescent="0.25">
      <c r="A225" s="156">
        <v>5300</v>
      </c>
      <c r="B225" s="156" t="s">
        <v>138</v>
      </c>
      <c r="C225" s="159">
        <v>0</v>
      </c>
      <c r="D225" s="159">
        <v>5207563.8499999996</v>
      </c>
      <c r="E225" s="159">
        <f t="shared" si="13"/>
        <v>5207563.8499999996</v>
      </c>
    </row>
    <row r="226" spans="1:5" ht="14.5" x14ac:dyDescent="0.35">
      <c r="A226" s="156" t="s">
        <v>370</v>
      </c>
      <c r="B226" s="157" t="s">
        <v>139</v>
      </c>
      <c r="C226" s="154">
        <f>+SUM(C213:C217)+SUM(C221:C223)+SUM(C225:C225)</f>
        <v>0</v>
      </c>
      <c r="D226" s="154">
        <f>+SUM(D213:D217)+SUM(D221:D223)+SUM(D225:D225)</f>
        <v>10803396.149999999</v>
      </c>
      <c r="E226" s="154">
        <f t="shared" si="13"/>
        <v>10803396.149999999</v>
      </c>
    </row>
    <row r="227" spans="1:5" x14ac:dyDescent="0.25">
      <c r="A227" s="156" t="s">
        <v>370</v>
      </c>
      <c r="B227" s="156" t="s">
        <v>378</v>
      </c>
      <c r="C227" s="160" t="s">
        <v>378</v>
      </c>
      <c r="D227" s="160" t="s">
        <v>370</v>
      </c>
      <c r="E227" s="160" t="s">
        <v>370</v>
      </c>
    </row>
    <row r="228" spans="1:5" ht="14.5" x14ac:dyDescent="0.35">
      <c r="A228" s="156" t="s">
        <v>370</v>
      </c>
      <c r="B228" s="157" t="s">
        <v>140</v>
      </c>
      <c r="C228" s="160" t="s">
        <v>378</v>
      </c>
      <c r="D228" s="160" t="s">
        <v>370</v>
      </c>
      <c r="E228" s="160" t="s">
        <v>370</v>
      </c>
    </row>
    <row r="229" spans="1:5" x14ac:dyDescent="0.25">
      <c r="A229" s="156" t="s">
        <v>370</v>
      </c>
      <c r="B229" s="156" t="s">
        <v>378</v>
      </c>
      <c r="C229" s="160" t="s">
        <v>378</v>
      </c>
      <c r="D229" s="160" t="s">
        <v>370</v>
      </c>
      <c r="E229" s="160" t="s">
        <v>370</v>
      </c>
    </row>
    <row r="230" spans="1:5" ht="14.5" x14ac:dyDescent="0.35">
      <c r="A230" s="156" t="s">
        <v>370</v>
      </c>
      <c r="B230" s="157" t="s">
        <v>141</v>
      </c>
      <c r="C230" s="160" t="s">
        <v>378</v>
      </c>
      <c r="D230" s="160" t="s">
        <v>370</v>
      </c>
      <c r="E230" s="160" t="s">
        <v>370</v>
      </c>
    </row>
    <row r="231" spans="1:5" x14ac:dyDescent="0.25">
      <c r="A231" s="156">
        <v>5420</v>
      </c>
      <c r="B231" s="156" t="s">
        <v>141</v>
      </c>
      <c r="C231" s="159">
        <v>0</v>
      </c>
      <c r="D231" s="159">
        <v>24415.48</v>
      </c>
      <c r="E231" s="159">
        <f>D231-C231</f>
        <v>24415.48</v>
      </c>
    </row>
    <row r="232" spans="1:5" ht="14.5" x14ac:dyDescent="0.35">
      <c r="A232" s="156" t="s">
        <v>370</v>
      </c>
      <c r="B232" s="157" t="s">
        <v>142</v>
      </c>
      <c r="C232" s="154">
        <f>+SUM(C231:C231)</f>
        <v>0</v>
      </c>
      <c r="D232" s="154">
        <f>+SUM(D231:D231)</f>
        <v>24415.48</v>
      </c>
      <c r="E232" s="154">
        <f>D232-C232</f>
        <v>24415.48</v>
      </c>
    </row>
    <row r="233" spans="1:5" x14ac:dyDescent="0.25">
      <c r="A233" s="156" t="s">
        <v>370</v>
      </c>
      <c r="B233" s="156" t="s">
        <v>378</v>
      </c>
      <c r="C233" s="160" t="s">
        <v>378</v>
      </c>
      <c r="D233" s="160" t="s">
        <v>370</v>
      </c>
      <c r="E233" s="160" t="s">
        <v>370</v>
      </c>
    </row>
    <row r="234" spans="1:5" ht="14.5" x14ac:dyDescent="0.35">
      <c r="A234" s="156" t="s">
        <v>370</v>
      </c>
      <c r="B234" s="157" t="s">
        <v>143</v>
      </c>
      <c r="C234" s="160" t="s">
        <v>378</v>
      </c>
      <c r="D234" s="160" t="s">
        <v>370</v>
      </c>
      <c r="E234" s="160" t="s">
        <v>370</v>
      </c>
    </row>
    <row r="235" spans="1:5" x14ac:dyDescent="0.25">
      <c r="A235" s="156">
        <v>5519</v>
      </c>
      <c r="B235" s="156" t="s">
        <v>144</v>
      </c>
      <c r="C235" s="159">
        <v>0</v>
      </c>
      <c r="D235" s="159">
        <v>16212.15</v>
      </c>
      <c r="E235" s="159">
        <f t="shared" ref="E235:E245" si="14">D235-C235</f>
        <v>16212.15</v>
      </c>
    </row>
    <row r="236" spans="1:5" x14ac:dyDescent="0.25">
      <c r="A236" s="156">
        <v>5520</v>
      </c>
      <c r="B236" s="156" t="s">
        <v>145</v>
      </c>
      <c r="C236" s="159">
        <v>0</v>
      </c>
      <c r="D236" s="159">
        <v>0</v>
      </c>
      <c r="E236" s="159">
        <f t="shared" si="14"/>
        <v>0</v>
      </c>
    </row>
    <row r="237" spans="1:5" x14ac:dyDescent="0.25">
      <c r="A237" s="156">
        <v>5530</v>
      </c>
      <c r="B237" s="156" t="s">
        <v>251</v>
      </c>
      <c r="C237" s="159">
        <v>0</v>
      </c>
      <c r="D237" s="159">
        <v>0</v>
      </c>
      <c r="E237" s="159">
        <f t="shared" si="14"/>
        <v>0</v>
      </c>
    </row>
    <row r="238" spans="1:5" x14ac:dyDescent="0.25">
      <c r="A238" s="156">
        <v>5550</v>
      </c>
      <c r="B238" s="156" t="s">
        <v>146</v>
      </c>
      <c r="C238" s="159">
        <v>0</v>
      </c>
      <c r="D238" s="159">
        <v>0</v>
      </c>
      <c r="E238" s="159">
        <f t="shared" si="14"/>
        <v>0</v>
      </c>
    </row>
    <row r="239" spans="1:5" x14ac:dyDescent="0.25">
      <c r="A239" s="156">
        <v>5560</v>
      </c>
      <c r="B239" s="156" t="s">
        <v>147</v>
      </c>
      <c r="C239" s="159">
        <v>0</v>
      </c>
      <c r="D239" s="159">
        <v>0</v>
      </c>
      <c r="E239" s="159">
        <f t="shared" si="14"/>
        <v>0</v>
      </c>
    </row>
    <row r="240" spans="1:5" x14ac:dyDescent="0.25">
      <c r="A240" s="156">
        <v>5570</v>
      </c>
      <c r="B240" s="156" t="s">
        <v>148</v>
      </c>
      <c r="C240" s="159">
        <v>0</v>
      </c>
      <c r="D240" s="159">
        <v>12711</v>
      </c>
      <c r="E240" s="159">
        <f t="shared" si="14"/>
        <v>12711</v>
      </c>
    </row>
    <row r="241" spans="1:5" x14ac:dyDescent="0.25">
      <c r="A241" s="156">
        <v>5580</v>
      </c>
      <c r="B241" s="156" t="s">
        <v>230</v>
      </c>
      <c r="C241" s="159">
        <v>0</v>
      </c>
      <c r="D241" s="159">
        <v>10779.44</v>
      </c>
      <c r="E241" s="159">
        <f t="shared" si="14"/>
        <v>10779.44</v>
      </c>
    </row>
    <row r="242" spans="1:5" x14ac:dyDescent="0.25">
      <c r="A242" s="156">
        <v>5582</v>
      </c>
      <c r="B242" s="156" t="s">
        <v>231</v>
      </c>
      <c r="C242" s="159">
        <v>0</v>
      </c>
      <c r="D242" s="159">
        <v>3000</v>
      </c>
      <c r="E242" s="159">
        <f t="shared" si="14"/>
        <v>3000</v>
      </c>
    </row>
    <row r="243" spans="1:5" x14ac:dyDescent="0.25">
      <c r="A243" s="156">
        <v>5584</v>
      </c>
      <c r="B243" s="156" t="s">
        <v>232</v>
      </c>
      <c r="C243" s="159">
        <v>0</v>
      </c>
      <c r="D243" s="159">
        <v>7900</v>
      </c>
      <c r="E243" s="159">
        <f t="shared" si="14"/>
        <v>7900</v>
      </c>
    </row>
    <row r="244" spans="1:5" x14ac:dyDescent="0.25">
      <c r="A244" s="156">
        <v>5590</v>
      </c>
      <c r="B244" s="156" t="s">
        <v>298</v>
      </c>
      <c r="C244" s="159">
        <v>0</v>
      </c>
      <c r="D244" s="159">
        <v>0</v>
      </c>
      <c r="E244" s="159">
        <f t="shared" si="14"/>
        <v>0</v>
      </c>
    </row>
    <row r="245" spans="1:5" ht="14.5" x14ac:dyDescent="0.35">
      <c r="A245" s="156" t="s">
        <v>370</v>
      </c>
      <c r="B245" s="157" t="s">
        <v>149</v>
      </c>
      <c r="C245" s="154">
        <f>+SUM(C235:C244)</f>
        <v>0</v>
      </c>
      <c r="D245" s="154">
        <f>+SUM(D235:D244)</f>
        <v>50602.590000000004</v>
      </c>
      <c r="E245" s="154">
        <f t="shared" si="14"/>
        <v>50602.590000000004</v>
      </c>
    </row>
    <row r="246" spans="1:5" x14ac:dyDescent="0.25">
      <c r="A246" s="156" t="s">
        <v>370</v>
      </c>
      <c r="B246" s="156" t="s">
        <v>378</v>
      </c>
      <c r="C246" s="160" t="s">
        <v>378</v>
      </c>
      <c r="D246" s="160" t="s">
        <v>370</v>
      </c>
      <c r="E246" s="160" t="s">
        <v>370</v>
      </c>
    </row>
    <row r="247" spans="1:5" ht="14.5" x14ac:dyDescent="0.35">
      <c r="A247" s="156" t="s">
        <v>370</v>
      </c>
      <c r="B247" s="157" t="s">
        <v>150</v>
      </c>
      <c r="C247" s="160" t="s">
        <v>378</v>
      </c>
      <c r="D247" s="160" t="s">
        <v>370</v>
      </c>
      <c r="E247" s="160" t="s">
        <v>370</v>
      </c>
    </row>
    <row r="248" spans="1:5" x14ac:dyDescent="0.25">
      <c r="A248" s="156">
        <v>5910</v>
      </c>
      <c r="B248" s="156" t="s">
        <v>151</v>
      </c>
      <c r="C248" s="159">
        <v>0</v>
      </c>
      <c r="D248" s="159">
        <v>0</v>
      </c>
      <c r="E248" s="159">
        <f t="shared" ref="E248:E254" si="15">D248-C248</f>
        <v>0</v>
      </c>
    </row>
    <row r="249" spans="1:5" x14ac:dyDescent="0.25">
      <c r="A249" s="156">
        <v>5920</v>
      </c>
      <c r="B249" s="156" t="s">
        <v>233</v>
      </c>
      <c r="C249" s="159">
        <v>0</v>
      </c>
      <c r="D249" s="159">
        <v>0</v>
      </c>
      <c r="E249" s="159">
        <f t="shared" si="15"/>
        <v>0</v>
      </c>
    </row>
    <row r="250" spans="1:5" x14ac:dyDescent="0.25">
      <c r="A250" s="156">
        <v>5930</v>
      </c>
      <c r="B250" s="156" t="s">
        <v>252</v>
      </c>
      <c r="C250" s="159">
        <v>0</v>
      </c>
      <c r="D250" s="159">
        <v>0</v>
      </c>
      <c r="E250" s="159">
        <f t="shared" si="15"/>
        <v>0</v>
      </c>
    </row>
    <row r="251" spans="1:5" x14ac:dyDescent="0.25">
      <c r="A251" s="156">
        <v>5940</v>
      </c>
      <c r="B251" s="156" t="s">
        <v>253</v>
      </c>
      <c r="C251" s="159">
        <v>0</v>
      </c>
      <c r="D251" s="159">
        <v>1965765.02</v>
      </c>
      <c r="E251" s="159">
        <f t="shared" si="15"/>
        <v>1965765.02</v>
      </c>
    </row>
    <row r="252" spans="1:5" ht="14.5" x14ac:dyDescent="0.35">
      <c r="A252" s="156" t="s">
        <v>370</v>
      </c>
      <c r="B252" s="157" t="s">
        <v>152</v>
      </c>
      <c r="C252" s="154">
        <f>+SUM(C248:C251)</f>
        <v>0</v>
      </c>
      <c r="D252" s="154">
        <f>+SUM(D248:D251)</f>
        <v>1965765.02</v>
      </c>
      <c r="E252" s="154">
        <f t="shared" si="15"/>
        <v>1965765.02</v>
      </c>
    </row>
    <row r="253" spans="1:5" ht="14.5" x14ac:dyDescent="0.35">
      <c r="A253" s="156" t="s">
        <v>370</v>
      </c>
      <c r="B253" s="157" t="s">
        <v>154</v>
      </c>
      <c r="C253" s="154">
        <f>+SUM(C213:C217)+SUM(C221:C223)+SUM(C225:C225)+SUM(C231:C231)+SUM(C235:C244)+SUM(C248:C251)</f>
        <v>0</v>
      </c>
      <c r="D253" s="154">
        <f>+SUM(D213:D217)+SUM(D221:D223)+SUM(D225:D225)+SUM(D231:D231)+SUM(D235:D244)+SUM(D248:D251)</f>
        <v>12844179.239999998</v>
      </c>
      <c r="E253" s="154">
        <f t="shared" si="15"/>
        <v>12844179.239999998</v>
      </c>
    </row>
    <row r="254" spans="1:5" ht="14.5" x14ac:dyDescent="0.35">
      <c r="A254" s="156" t="s">
        <v>370</v>
      </c>
      <c r="B254" s="157" t="s">
        <v>153</v>
      </c>
      <c r="C254" s="154">
        <f>+SUM(C231:C231)+SUM(C235:C244)+SUM(C248:C251)</f>
        <v>0</v>
      </c>
      <c r="D254" s="154">
        <f>+SUM(D231:D231)+SUM(D235:D244)+SUM(D248:D251)</f>
        <v>2040783.09</v>
      </c>
      <c r="E254" s="154">
        <f t="shared" si="15"/>
        <v>2040783.09</v>
      </c>
    </row>
    <row r="255" spans="1:5" x14ac:dyDescent="0.25">
      <c r="A255" s="156" t="s">
        <v>370</v>
      </c>
    </row>
    <row r="256" spans="1:5" ht="14.5" x14ac:dyDescent="0.35">
      <c r="A256" s="156" t="s">
        <v>370</v>
      </c>
      <c r="B256" s="157" t="s">
        <v>155</v>
      </c>
      <c r="C256" s="160" t="s">
        <v>378</v>
      </c>
      <c r="D256" s="160" t="s">
        <v>370</v>
      </c>
      <c r="E256" s="160" t="s">
        <v>370</v>
      </c>
    </row>
    <row r="257" spans="1:5" x14ac:dyDescent="0.25">
      <c r="A257" s="156" t="s">
        <v>370</v>
      </c>
      <c r="B257" s="156" t="s">
        <v>378</v>
      </c>
      <c r="C257" s="160" t="s">
        <v>378</v>
      </c>
      <c r="D257" s="160" t="s">
        <v>370</v>
      </c>
      <c r="E257" s="160" t="s">
        <v>370</v>
      </c>
    </row>
    <row r="258" spans="1:5" ht="14.5" x14ac:dyDescent="0.35">
      <c r="A258" s="156" t="s">
        <v>370</v>
      </c>
      <c r="B258" s="157" t="s">
        <v>156</v>
      </c>
      <c r="C258" s="160" t="s">
        <v>378</v>
      </c>
      <c r="D258" s="160" t="s">
        <v>370</v>
      </c>
      <c r="E258" s="160" t="s">
        <v>370</v>
      </c>
    </row>
    <row r="259" spans="1:5" x14ac:dyDescent="0.25">
      <c r="A259" s="156">
        <v>6110</v>
      </c>
      <c r="B259" s="156" t="s">
        <v>157</v>
      </c>
      <c r="C259" s="159">
        <v>0</v>
      </c>
      <c r="D259" s="159">
        <v>-6231122.2000000002</v>
      </c>
      <c r="E259" s="159">
        <f>D259-C259</f>
        <v>-6231122.2000000002</v>
      </c>
    </row>
    <row r="260" spans="1:5" ht="14.5" x14ac:dyDescent="0.35">
      <c r="A260" s="156" t="s">
        <v>370</v>
      </c>
      <c r="B260" s="157" t="s">
        <v>158</v>
      </c>
      <c r="C260" s="154">
        <f>+SUM(C6:C9)+SUM(C15:C21)+SUM(C25:C31)+SUM(C35:C44)+SUM(C48:C51)+SUM(C55:C67)+SUM(C69:C71)+SUM(C74:C79)+SUM(C83:C92)+SUM(C96:C96)+SUM(C101:C102)+SUM(C105:C109)+SUM(C113:C117)+SUM(C121:C125)+SUM(C129:C131)+SUM(C135:C136)+SUM(C140:C143)+SUM(C152:C158)+SUM(C162:C165)+SUM(C169:C172)+SUM(C176:C178)+SUM(C182:C184)+SUM(C188:C191)+SUM(C195:C197)+SUM(C201:C203)</f>
        <v>85.650000000023283</v>
      </c>
      <c r="D260" s="154">
        <f>+SUM(D6:D9)+SUM(D15:D21)+SUM(D25:D31)+SUM(D35:D44)+SUM(D48:D51)+SUM(D55:D67)+SUM(D69:D71)+SUM(D74:D79)+SUM(D83:D92)+SUM(D96:D96)+SUM(D101:D102)+SUM(D105:D109)+SUM(D113:D117)+SUM(D121:D125)+SUM(D129:D131)+SUM(D135:D136)+SUM(D140:D143)+SUM(D152:D158)+SUM(D162:D165)+SUM(D169:D172)+SUM(D176:D178)+SUM(D182:D184)+SUM(D188:D191)+SUM(D195:D197)+SUM(D201:D203)</f>
        <v>-1356.3600000000897</v>
      </c>
      <c r="E260" s="154">
        <f>D260-C260</f>
        <v>-1442.010000000113</v>
      </c>
    </row>
    <row r="261" spans="1:5" x14ac:dyDescent="0.25">
      <c r="A261" s="156">
        <v>6130</v>
      </c>
      <c r="B261" s="156" t="s">
        <v>238</v>
      </c>
      <c r="C261" s="159">
        <v>0</v>
      </c>
      <c r="D261" s="159">
        <v>50000</v>
      </c>
      <c r="E261" s="159">
        <f>D261-C261</f>
        <v>50000</v>
      </c>
    </row>
    <row r="262" spans="1:5" ht="14.5" x14ac:dyDescent="0.35">
      <c r="A262" s="156" t="s">
        <v>370</v>
      </c>
      <c r="B262" s="157" t="s">
        <v>160</v>
      </c>
      <c r="C262" s="154">
        <f>+SUM(C6:C9)+SUM(C15:C21)+SUM(C25:C31)+SUM(C35:C44)+SUM(C48:C51)+SUM(C55:C67)+SUM(C69:C71)+SUM(C74:C79)+SUM(C83:C92)+SUM(C96:C96)+SUM(C101:C102)+SUM(C105:C109)+SUM(C113:C117)+SUM(C121:C125)+SUM(C129:C131)+SUM(C135:C136)+SUM(C140:C143)+SUM(C152:C158)+SUM(C162:C165)+SUM(C169:C172)+SUM(C176:C178)+SUM(C182:C184)+SUM(C188:C191)+SUM(C195:C197)+SUM(C201:C203)+SUM(C259:C259)+SUM(C261:C261)</f>
        <v>85.650000000023283</v>
      </c>
      <c r="D262" s="154">
        <f>+SUM(D6:D9)+SUM(D15:D21)+SUM(D25:D31)+SUM(D35:D44)+SUM(D48:D51)+SUM(D55:D67)+SUM(D69:D71)+SUM(D74:D79)+SUM(D83:D92)+SUM(D96:D96)+SUM(D101:D102)+SUM(D105:D109)+SUM(D113:D117)+SUM(D121:D125)+SUM(D129:D131)+SUM(D135:D136)+SUM(D140:D143)+SUM(D152:D158)+SUM(D162:D165)+SUM(D169:D172)+SUM(D176:D178)+SUM(D182:D184)+SUM(D188:D191)+SUM(D195:D197)+SUM(D201:D203)+SUM(D259:D259)+SUM(D261:D261)</f>
        <v>-6182478.5600000005</v>
      </c>
      <c r="E262" s="154">
        <f>D262-C262</f>
        <v>-6182564.2100000009</v>
      </c>
    </row>
    <row r="263" spans="1:5" x14ac:dyDescent="0.25">
      <c r="A263" s="156" t="s">
        <v>370</v>
      </c>
      <c r="B263" s="156" t="s">
        <v>378</v>
      </c>
      <c r="C263" s="160" t="s">
        <v>378</v>
      </c>
      <c r="D263" s="160" t="s">
        <v>370</v>
      </c>
      <c r="E263" s="160" t="s">
        <v>370</v>
      </c>
    </row>
    <row r="264" spans="1:5" ht="14.5" x14ac:dyDescent="0.35">
      <c r="A264" s="156" t="s">
        <v>370</v>
      </c>
      <c r="B264" s="157" t="s">
        <v>162</v>
      </c>
      <c r="C264" s="160" t="s">
        <v>378</v>
      </c>
      <c r="D264" s="160" t="s">
        <v>370</v>
      </c>
      <c r="E264" s="160" t="s">
        <v>370</v>
      </c>
    </row>
    <row r="265" spans="1:5" x14ac:dyDescent="0.25">
      <c r="A265" s="156">
        <v>6320</v>
      </c>
      <c r="B265" s="156" t="s">
        <v>288</v>
      </c>
      <c r="C265" s="159">
        <v>0</v>
      </c>
      <c r="D265" s="159">
        <v>-328830.93</v>
      </c>
      <c r="E265" s="159">
        <f t="shared" ref="E265:E271" si="16">D265-C265</f>
        <v>-328830.93</v>
      </c>
    </row>
    <row r="266" spans="1:5" x14ac:dyDescent="0.25">
      <c r="A266" s="156">
        <v>6340</v>
      </c>
      <c r="B266" s="156" t="s">
        <v>209</v>
      </c>
      <c r="C266" s="159">
        <v>0</v>
      </c>
      <c r="D266" s="159">
        <v>-18060</v>
      </c>
      <c r="E266" s="159">
        <f t="shared" si="16"/>
        <v>-18060</v>
      </c>
    </row>
    <row r="267" spans="1:5" x14ac:dyDescent="0.25">
      <c r="A267" s="156">
        <v>6345</v>
      </c>
      <c r="B267" s="156" t="s">
        <v>210</v>
      </c>
      <c r="C267" s="159">
        <v>0</v>
      </c>
      <c r="D267" s="159">
        <v>-10968</v>
      </c>
      <c r="E267" s="159">
        <f t="shared" si="16"/>
        <v>-10968</v>
      </c>
    </row>
    <row r="268" spans="1:5" x14ac:dyDescent="0.25">
      <c r="A268" s="156">
        <v>6350</v>
      </c>
      <c r="B268" s="156" t="s">
        <v>207</v>
      </c>
      <c r="C268" s="159">
        <v>0</v>
      </c>
      <c r="D268" s="159">
        <v>-25669.18</v>
      </c>
      <c r="E268" s="159">
        <f t="shared" si="16"/>
        <v>-25669.18</v>
      </c>
    </row>
    <row r="269" spans="1:5" x14ac:dyDescent="0.25">
      <c r="A269" s="156">
        <v>6360</v>
      </c>
      <c r="B269" s="156" t="s">
        <v>208</v>
      </c>
      <c r="C269" s="159">
        <v>0</v>
      </c>
      <c r="D269" s="159">
        <v>-17828</v>
      </c>
      <c r="E269" s="159">
        <f t="shared" si="16"/>
        <v>-17828</v>
      </c>
    </row>
    <row r="270" spans="1:5" x14ac:dyDescent="0.25">
      <c r="A270" s="156">
        <v>6380</v>
      </c>
      <c r="B270" s="156" t="s">
        <v>163</v>
      </c>
      <c r="C270" s="159">
        <v>0</v>
      </c>
      <c r="D270" s="159">
        <v>0</v>
      </c>
      <c r="E270" s="159">
        <f t="shared" si="16"/>
        <v>0</v>
      </c>
    </row>
    <row r="271" spans="1:5" ht="14.5" x14ac:dyDescent="0.35">
      <c r="A271" s="156" t="s">
        <v>370</v>
      </c>
      <c r="B271" s="157" t="s">
        <v>164</v>
      </c>
      <c r="C271" s="154">
        <f>+SUM(C265:C270)</f>
        <v>0</v>
      </c>
      <c r="D271" s="154">
        <f>+SUM(D265:D270)</f>
        <v>-401356.11</v>
      </c>
      <c r="E271" s="154">
        <f t="shared" si="16"/>
        <v>-401356.11</v>
      </c>
    </row>
    <row r="272" spans="1:5" x14ac:dyDescent="0.25">
      <c r="A272" s="156" t="s">
        <v>370</v>
      </c>
      <c r="B272" s="156" t="s">
        <v>378</v>
      </c>
      <c r="C272" s="160" t="s">
        <v>378</v>
      </c>
      <c r="D272" s="160" t="s">
        <v>370</v>
      </c>
      <c r="E272" s="160" t="s">
        <v>370</v>
      </c>
    </row>
    <row r="273" spans="1:5" ht="14.5" x14ac:dyDescent="0.35">
      <c r="A273" s="156" t="s">
        <v>370</v>
      </c>
      <c r="B273" s="157" t="s">
        <v>192</v>
      </c>
      <c r="C273" s="160" t="s">
        <v>378</v>
      </c>
      <c r="D273" s="160" t="s">
        <v>370</v>
      </c>
      <c r="E273" s="160" t="s">
        <v>370</v>
      </c>
    </row>
    <row r="274" spans="1:5" x14ac:dyDescent="0.25">
      <c r="A274" s="156" t="s">
        <v>370</v>
      </c>
      <c r="B274" s="156" t="s">
        <v>378</v>
      </c>
      <c r="C274" s="160" t="s">
        <v>378</v>
      </c>
      <c r="D274" s="160" t="s">
        <v>370</v>
      </c>
      <c r="E274" s="160" t="s">
        <v>370</v>
      </c>
    </row>
    <row r="275" spans="1:5" ht="14.5" x14ac:dyDescent="0.35">
      <c r="A275" s="156" t="s">
        <v>370</v>
      </c>
      <c r="B275" s="157" t="s">
        <v>165</v>
      </c>
      <c r="C275" s="160" t="s">
        <v>378</v>
      </c>
      <c r="D275" s="160" t="s">
        <v>370</v>
      </c>
      <c r="E275" s="160" t="s">
        <v>370</v>
      </c>
    </row>
    <row r="276" spans="1:5" x14ac:dyDescent="0.25">
      <c r="A276" s="156">
        <v>6620</v>
      </c>
      <c r="B276" s="156" t="s">
        <v>166</v>
      </c>
      <c r="C276" s="159">
        <v>0</v>
      </c>
      <c r="D276" s="159">
        <v>0</v>
      </c>
      <c r="E276" s="159">
        <f t="shared" ref="E276:E281" si="17">D276-C276</f>
        <v>0</v>
      </c>
    </row>
    <row r="277" spans="1:5" x14ac:dyDescent="0.25">
      <c r="A277" s="156">
        <v>6630</v>
      </c>
      <c r="B277" s="156" t="s">
        <v>234</v>
      </c>
      <c r="C277" s="159">
        <v>0</v>
      </c>
      <c r="D277" s="159">
        <v>0</v>
      </c>
      <c r="E277" s="159">
        <f t="shared" si="17"/>
        <v>0</v>
      </c>
    </row>
    <row r="278" spans="1:5" x14ac:dyDescent="0.25">
      <c r="A278" s="156">
        <v>6640</v>
      </c>
      <c r="B278" s="156" t="s">
        <v>235</v>
      </c>
      <c r="C278" s="159">
        <v>0</v>
      </c>
      <c r="D278" s="159">
        <v>0</v>
      </c>
      <c r="E278" s="159">
        <f t="shared" si="17"/>
        <v>0</v>
      </c>
    </row>
    <row r="279" spans="1:5" x14ac:dyDescent="0.25">
      <c r="A279" s="156">
        <v>6650</v>
      </c>
      <c r="B279" s="156" t="s">
        <v>236</v>
      </c>
      <c r="C279" s="159">
        <v>0</v>
      </c>
      <c r="D279" s="159">
        <v>0</v>
      </c>
      <c r="E279" s="159">
        <f t="shared" si="17"/>
        <v>0</v>
      </c>
    </row>
    <row r="280" spans="1:5" x14ac:dyDescent="0.25">
      <c r="A280" s="156">
        <v>6660</v>
      </c>
      <c r="B280" s="156" t="s">
        <v>254</v>
      </c>
      <c r="C280" s="159">
        <v>0</v>
      </c>
      <c r="D280" s="159">
        <v>-1000000</v>
      </c>
      <c r="E280" s="159">
        <f t="shared" si="17"/>
        <v>-1000000</v>
      </c>
    </row>
    <row r="281" spans="1:5" ht="14.5" x14ac:dyDescent="0.35">
      <c r="A281" s="156" t="s">
        <v>370</v>
      </c>
      <c r="B281" s="157" t="s">
        <v>167</v>
      </c>
      <c r="C281" s="154">
        <f>+SUM(C276:C280)</f>
        <v>0</v>
      </c>
      <c r="D281" s="154">
        <f>+SUM(D276:D280)</f>
        <v>-1000000</v>
      </c>
      <c r="E281" s="154">
        <f t="shared" si="17"/>
        <v>-1000000</v>
      </c>
    </row>
    <row r="282" spans="1:5" x14ac:dyDescent="0.25">
      <c r="A282" s="156" t="s">
        <v>370</v>
      </c>
      <c r="B282" s="156" t="s">
        <v>378</v>
      </c>
      <c r="C282" s="160" t="s">
        <v>378</v>
      </c>
      <c r="D282" s="160" t="s">
        <v>370</v>
      </c>
      <c r="E282" s="160" t="s">
        <v>370</v>
      </c>
    </row>
    <row r="283" spans="1:5" ht="14.5" x14ac:dyDescent="0.35">
      <c r="A283" s="156" t="s">
        <v>370</v>
      </c>
      <c r="B283" s="157" t="s">
        <v>168</v>
      </c>
      <c r="C283" s="160" t="s">
        <v>378</v>
      </c>
      <c r="D283" s="160" t="s">
        <v>370</v>
      </c>
      <c r="E283" s="160" t="s">
        <v>370</v>
      </c>
    </row>
    <row r="284" spans="1:5" x14ac:dyDescent="0.25">
      <c r="A284" s="156">
        <v>6905</v>
      </c>
      <c r="B284" s="156" t="s">
        <v>299</v>
      </c>
      <c r="C284" s="159">
        <v>0</v>
      </c>
      <c r="D284" s="159">
        <v>0</v>
      </c>
      <c r="E284" s="159">
        <f t="shared" ref="E284:E290" si="18">D284-C284</f>
        <v>0</v>
      </c>
    </row>
    <row r="285" spans="1:5" x14ac:dyDescent="0.25">
      <c r="A285" s="156">
        <v>6910</v>
      </c>
      <c r="B285" s="156" t="s">
        <v>169</v>
      </c>
      <c r="C285" s="159">
        <v>0</v>
      </c>
      <c r="D285" s="159">
        <v>-52780.72</v>
      </c>
      <c r="E285" s="159">
        <f t="shared" si="18"/>
        <v>-52780.72</v>
      </c>
    </row>
    <row r="286" spans="1:5" x14ac:dyDescent="0.25">
      <c r="A286" s="156">
        <v>6920</v>
      </c>
      <c r="B286" s="156" t="s">
        <v>170</v>
      </c>
      <c r="C286" s="159">
        <v>0</v>
      </c>
      <c r="D286" s="159">
        <v>-5207563.8499999996</v>
      </c>
      <c r="E286" s="159">
        <f t="shared" si="18"/>
        <v>-5207563.8499999996</v>
      </c>
    </row>
    <row r="287" spans="1:5" ht="14.5" x14ac:dyDescent="0.35">
      <c r="A287" s="156" t="s">
        <v>370</v>
      </c>
      <c r="B287" s="157" t="s">
        <v>171</v>
      </c>
      <c r="C287" s="154">
        <f>+SUM(C284:C286)</f>
        <v>0</v>
      </c>
      <c r="D287" s="154">
        <f>+SUM(D284:D286)</f>
        <v>-5260344.5699999994</v>
      </c>
      <c r="E287" s="154">
        <f t="shared" si="18"/>
        <v>-5260344.5699999994</v>
      </c>
    </row>
    <row r="288" spans="1:5" ht="14.5" x14ac:dyDescent="0.35">
      <c r="A288" s="156" t="s">
        <v>370</v>
      </c>
      <c r="B288" s="157" t="s">
        <v>172</v>
      </c>
      <c r="C288" s="154">
        <f>+SUM(C276:C280)+SUM(C284:C286)</f>
        <v>0</v>
      </c>
      <c r="D288" s="154">
        <f>+SUM(D276:D280)+SUM(D284:D286)</f>
        <v>-6260344.5699999994</v>
      </c>
      <c r="E288" s="154">
        <f t="shared" si="18"/>
        <v>-6260344.5699999994</v>
      </c>
    </row>
    <row r="289" spans="1:5" ht="14.5" x14ac:dyDescent="0.35">
      <c r="A289" s="156" t="s">
        <v>370</v>
      </c>
      <c r="B289" s="157" t="s">
        <v>173</v>
      </c>
      <c r="C289" s="154">
        <f>+SUM(C6:C9)+SUM(C15:C21)+SUM(C25:C31)+SUM(C35:C44)+SUM(C48:C51)+SUM(C55:C67)+SUM(C69:C71)+SUM(C74:C79)+SUM(C83:C92)+SUM(C96:C96)+SUM(C101:C102)+SUM(C105:C109)+SUM(C113:C117)+SUM(C121:C125)+SUM(C129:C131)+SUM(C135:C136)+SUM(C140:C143)+SUM(C152:C158)+SUM(C162:C165)+SUM(C169:C172)+SUM(C176:C178)+SUM(C182:C184)+SUM(C188:C191)+SUM(C195:C197)+SUM(C201:C203)+SUM(C259:C259)+SUM(C261:C261)+SUM(C265:C270)+SUM(C276:C280)+SUM(C284:C286)</f>
        <v>85.650000000023283</v>
      </c>
      <c r="D289" s="154">
        <f>+SUM(D6:D9)+SUM(D15:D21)+SUM(D25:D31)+SUM(D35:D44)+SUM(D48:D51)+SUM(D55:D67)+SUM(D69:D71)+SUM(D74:D79)+SUM(D83:D92)+SUM(D96:D96)+SUM(D101:D102)+SUM(D105:D109)+SUM(D113:D117)+SUM(D121:D125)+SUM(D129:D131)+SUM(D135:D136)+SUM(D140:D143)+SUM(D152:D158)+SUM(D162:D165)+SUM(D169:D172)+SUM(D176:D178)+SUM(D182:D184)+SUM(D188:D191)+SUM(D195:D197)+SUM(D201:D203)+SUM(D259:D259)+SUM(D261:D261)+SUM(D265:D270)+SUM(D276:D280)+SUM(D284:D286)</f>
        <v>-12844179.24</v>
      </c>
      <c r="E289" s="154">
        <f t="shared" si="18"/>
        <v>-12844264.890000001</v>
      </c>
    </row>
    <row r="290" spans="1:5" x14ac:dyDescent="0.25">
      <c r="A290" s="156">
        <v>9900</v>
      </c>
      <c r="B290" s="156" t="s">
        <v>175</v>
      </c>
      <c r="C290" s="159">
        <v>0</v>
      </c>
      <c r="D290" s="159">
        <v>0</v>
      </c>
      <c r="E290" s="159">
        <f t="shared" si="18"/>
        <v>0</v>
      </c>
    </row>
  </sheetData>
  <mergeCells count="3">
    <mergeCell ref="A3:Y3"/>
    <mergeCell ref="A4:Y4"/>
    <mergeCell ref="A2:Y2"/>
  </mergeCells>
  <phoneticPr fontId="11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opLeftCell="A58" workbookViewId="0">
      <selection activeCell="A86" sqref="A86:XFD86"/>
    </sheetView>
  </sheetViews>
  <sheetFormatPr defaultRowHeight="12.5" x14ac:dyDescent="0.25"/>
  <cols>
    <col min="1" max="1" width="8.1796875" bestFit="1" customWidth="1"/>
    <col min="2" max="2" width="11.1796875" style="62" customWidth="1"/>
    <col min="3" max="3" width="13.26953125" style="62" customWidth="1"/>
    <col min="4" max="4" width="34.81640625" bestFit="1" customWidth="1"/>
    <col min="5" max="5" width="14.54296875" style="63" customWidth="1"/>
    <col min="6" max="6" width="10.54296875" bestFit="1" customWidth="1"/>
    <col min="7" max="7" width="11.81640625" bestFit="1" customWidth="1"/>
    <col min="8" max="8" width="15.81640625" style="63" customWidth="1"/>
  </cols>
  <sheetData>
    <row r="1" spans="1:8" ht="14.5" x14ac:dyDescent="0.35">
      <c r="A1" s="59" t="s">
        <v>18</v>
      </c>
      <c r="B1" s="60" t="s">
        <v>19</v>
      </c>
      <c r="C1" s="60" t="s">
        <v>20</v>
      </c>
      <c r="D1" s="59" t="s">
        <v>21</v>
      </c>
      <c r="E1" s="61" t="s">
        <v>22</v>
      </c>
      <c r="F1" s="59" t="s">
        <v>23</v>
      </c>
      <c r="G1" s="59" t="s">
        <v>24</v>
      </c>
      <c r="H1" s="61" t="s">
        <v>25</v>
      </c>
    </row>
    <row r="2" spans="1:8" ht="14" x14ac:dyDescent="0.35">
      <c r="A2" s="87">
        <f>Saldobalance!A6</f>
        <v>1010</v>
      </c>
      <c r="B2" s="62">
        <f>'Regnskab og budget'!$F$2</f>
        <v>42736</v>
      </c>
      <c r="C2" s="62">
        <f>'Regnskab og budget'!$H$2</f>
        <v>43100</v>
      </c>
      <c r="D2" s="20" t="str">
        <f>'Regnskab og budget'!A7</f>
        <v>GEF ejerne</v>
      </c>
      <c r="E2" s="63">
        <f>'Regnskab og budget'!K7</f>
        <v>-748070</v>
      </c>
      <c r="F2">
        <v>1</v>
      </c>
      <c r="G2" t="str">
        <f>IF(E2&lt;0,"Kredit","")</f>
        <v>Kredit</v>
      </c>
      <c r="H2" s="68">
        <v>0</v>
      </c>
    </row>
    <row r="3" spans="1:8" ht="14" x14ac:dyDescent="0.35">
      <c r="A3" s="87">
        <f>Saldobalance!A7</f>
        <v>1020</v>
      </c>
      <c r="B3" s="62">
        <f>'Regnskab og budget'!$F$2</f>
        <v>42736</v>
      </c>
      <c r="C3" s="62">
        <f>'Regnskab og budget'!$H$2</f>
        <v>43100</v>
      </c>
      <c r="D3" s="20" t="str">
        <f>'Regnskab og budget'!A8</f>
        <v>GEF lejerne</v>
      </c>
      <c r="E3" s="63">
        <f>'Regnskab og budget'!K8</f>
        <v>-19717.5</v>
      </c>
      <c r="F3">
        <v>1</v>
      </c>
      <c r="G3" t="str">
        <f t="shared" ref="G3:G77" si="0">IF(E3&lt;0,"Kredit","")</f>
        <v>Kredit</v>
      </c>
      <c r="H3" s="68">
        <v>0</v>
      </c>
    </row>
    <row r="4" spans="1:8" ht="14" x14ac:dyDescent="0.35">
      <c r="A4" s="87">
        <f>Saldobalance!A8</f>
        <v>1030</v>
      </c>
      <c r="B4" s="62">
        <f>'Regnskab og budget'!$F$2</f>
        <v>42736</v>
      </c>
      <c r="C4" s="62">
        <f>'Regnskab og budget'!$H$2</f>
        <v>43100</v>
      </c>
      <c r="D4" s="20" t="str">
        <f>'Regnskab og budget'!A9</f>
        <v xml:space="preserve">Rykkergebyr </v>
      </c>
      <c r="E4" s="63">
        <f>'Regnskab og budget'!K9</f>
        <v>-2000</v>
      </c>
      <c r="F4">
        <v>1</v>
      </c>
      <c r="G4" t="str">
        <f t="shared" si="0"/>
        <v>Kredit</v>
      </c>
      <c r="H4" s="68">
        <v>0</v>
      </c>
    </row>
    <row r="5" spans="1:8" ht="14" x14ac:dyDescent="0.35">
      <c r="A5" s="87">
        <f>Saldobalance!A9</f>
        <v>1040</v>
      </c>
      <c r="B5" s="62">
        <f>'Regnskab og budget'!$F$2</f>
        <v>42736</v>
      </c>
      <c r="C5" s="62">
        <f>'Regnskab og budget'!$H$2</f>
        <v>43100</v>
      </c>
      <c r="D5" s="20" t="str">
        <f>'Regnskab og budget'!A10</f>
        <v>Andre indtægter</v>
      </c>
      <c r="E5" s="63">
        <f>'Regnskab og budget'!K10</f>
        <v>-25000</v>
      </c>
      <c r="F5">
        <v>1</v>
      </c>
      <c r="G5" t="str">
        <f>IF(E5&lt;=0,"Kredit","")</f>
        <v>Kredit</v>
      </c>
      <c r="H5" s="68">
        <v>0</v>
      </c>
    </row>
    <row r="6" spans="1:8" ht="14" x14ac:dyDescent="0.35">
      <c r="A6" s="87">
        <f>Saldobalance!A15</f>
        <v>1311</v>
      </c>
      <c r="B6" s="62">
        <f>'Regnskab og budget'!$F$2</f>
        <v>42736</v>
      </c>
      <c r="C6" s="62">
        <f>'Regnskab og budget'!$H$2</f>
        <v>43100</v>
      </c>
      <c r="D6" s="20" t="str">
        <f>'Regnskab og budget'!A19</f>
        <v>Rep maskiner og anlæg</v>
      </c>
      <c r="E6" s="63">
        <f>'Regnskab og budget'!J19</f>
        <v>20000</v>
      </c>
      <c r="F6">
        <v>1</v>
      </c>
      <c r="G6" t="str">
        <f t="shared" si="0"/>
        <v/>
      </c>
      <c r="H6" s="68">
        <v>0</v>
      </c>
    </row>
    <row r="7" spans="1:8" ht="14" x14ac:dyDescent="0.35">
      <c r="A7" s="87">
        <f>Saldobalance!A16</f>
        <v>1312</v>
      </c>
      <c r="B7" s="62">
        <f>'Regnskab og budget'!$F$2</f>
        <v>42736</v>
      </c>
      <c r="C7" s="62">
        <f>'Regnskab og budget'!$H$2</f>
        <v>43100</v>
      </c>
      <c r="D7" s="20" t="str">
        <f>'Regnskab og budget'!A20</f>
        <v>Rep og service Gasfyr</v>
      </c>
      <c r="E7" s="63">
        <f>'Regnskab og budget'!J20</f>
        <v>30000</v>
      </c>
      <c r="F7">
        <v>1</v>
      </c>
      <c r="G7" t="str">
        <f t="shared" si="0"/>
        <v/>
      </c>
      <c r="H7" s="68">
        <v>0</v>
      </c>
    </row>
    <row r="8" spans="1:8" ht="14" x14ac:dyDescent="0.35">
      <c r="A8" s="87">
        <f>Saldobalance!A17</f>
        <v>1313</v>
      </c>
      <c r="B8" s="62">
        <f>'Regnskab og budget'!$F$2</f>
        <v>42736</v>
      </c>
      <c r="C8" s="62">
        <f>'Regnskab og budget'!$H$2</f>
        <v>43100</v>
      </c>
      <c r="D8" s="20" t="str">
        <f>'Regnskab og budget'!A21</f>
        <v>Rep. vaskeriet</v>
      </c>
      <c r="E8" s="63">
        <f>'Regnskab og budget'!J21</f>
        <v>20000</v>
      </c>
      <c r="F8">
        <v>1</v>
      </c>
      <c r="G8" t="str">
        <f t="shared" si="0"/>
        <v/>
      </c>
      <c r="H8" s="68">
        <v>0</v>
      </c>
    </row>
    <row r="9" spans="1:8" ht="14" x14ac:dyDescent="0.35">
      <c r="A9" s="87">
        <f>Saldobalance!A18</f>
        <v>1314</v>
      </c>
      <c r="B9" s="62">
        <f>'Regnskab og budget'!$F$2</f>
        <v>42736</v>
      </c>
      <c r="C9" s="62">
        <f>'Regnskab og budget'!$H$2</f>
        <v>43100</v>
      </c>
      <c r="D9" s="20" t="str">
        <f>'Regnskab og budget'!A22</f>
        <v>Indv. vedl. FÆ-hus</v>
      </c>
      <c r="E9" s="63">
        <f>'Regnskab og budget'!J22</f>
        <v>6000</v>
      </c>
      <c r="F9">
        <v>1</v>
      </c>
      <c r="G9" t="str">
        <f t="shared" si="0"/>
        <v/>
      </c>
      <c r="H9" s="68">
        <v>0</v>
      </c>
    </row>
    <row r="10" spans="1:8" ht="14" x14ac:dyDescent="0.35">
      <c r="A10" s="87">
        <f>Saldobalance!A19</f>
        <v>1315</v>
      </c>
      <c r="B10" s="62">
        <f>'Regnskab og budget'!$F$2</f>
        <v>42736</v>
      </c>
      <c r="C10" s="62">
        <f>'Regnskab og budget'!$H$2</f>
        <v>43100</v>
      </c>
      <c r="D10" s="20" t="str">
        <f>'Regnskab og budget'!A23</f>
        <v>Udv. vedl. FÆ-hus</v>
      </c>
      <c r="E10" s="63">
        <f>'Regnskab og budget'!J23</f>
        <v>6000</v>
      </c>
      <c r="F10">
        <v>1</v>
      </c>
      <c r="G10" t="str">
        <f t="shared" si="0"/>
        <v/>
      </c>
      <c r="H10" s="68">
        <v>0</v>
      </c>
    </row>
    <row r="11" spans="1:8" ht="14" x14ac:dyDescent="0.35">
      <c r="A11" s="87">
        <f>Saldobalance!A20</f>
        <v>1316</v>
      </c>
      <c r="B11" s="62">
        <f>'Regnskab og budget'!$F$2</f>
        <v>42736</v>
      </c>
      <c r="C11" s="62">
        <f>'Regnskab og budget'!$H$2</f>
        <v>43100</v>
      </c>
      <c r="D11" s="20" t="str">
        <f>'Regnskab og budget'!A24</f>
        <v>Vedl. fællesarealer</v>
      </c>
      <c r="E11" s="63">
        <f>'Regnskab og budget'!J24</f>
        <v>35000</v>
      </c>
      <c r="F11">
        <v>1</v>
      </c>
      <c r="G11" t="str">
        <f t="shared" si="0"/>
        <v/>
      </c>
      <c r="H11" s="68">
        <v>0</v>
      </c>
    </row>
    <row r="12" spans="1:8" ht="14" x14ac:dyDescent="0.35">
      <c r="A12" s="87">
        <f>Saldobalance!A21</f>
        <v>1317</v>
      </c>
      <c r="B12" s="62">
        <f>'Regnskab og budget'!$F$2</f>
        <v>42736</v>
      </c>
      <c r="C12" s="62">
        <f>'Regnskab og budget'!$H$2</f>
        <v>43100</v>
      </c>
      <c r="D12" s="20" t="str">
        <f>'Regnskab og budget'!A25</f>
        <v>Snerydning</v>
      </c>
      <c r="E12" s="63">
        <f>'Regnskab og budget'!J25</f>
        <v>0</v>
      </c>
      <c r="F12">
        <v>1</v>
      </c>
      <c r="G12" t="str">
        <f t="shared" si="0"/>
        <v/>
      </c>
      <c r="H12" s="68">
        <v>0</v>
      </c>
    </row>
    <row r="13" spans="1:8" ht="14" x14ac:dyDescent="0.35">
      <c r="A13" s="87">
        <f>Saldobalance!A25</f>
        <v>1321</v>
      </c>
      <c r="B13" s="62">
        <f>'Regnskab og budget'!$F$2</f>
        <v>42736</v>
      </c>
      <c r="C13" s="62">
        <f>'Regnskab og budget'!$H$2</f>
        <v>43100</v>
      </c>
      <c r="D13" s="20" t="str">
        <f>'Regnskab og budget'!A28</f>
        <v>Inventar</v>
      </c>
      <c r="E13" s="63">
        <f>'Regnskab og budget'!J28</f>
        <v>2000</v>
      </c>
      <c r="F13">
        <v>1</v>
      </c>
      <c r="G13" t="str">
        <f t="shared" si="0"/>
        <v/>
      </c>
      <c r="H13" s="68">
        <v>0</v>
      </c>
    </row>
    <row r="14" spans="1:8" ht="14" x14ac:dyDescent="0.35">
      <c r="A14" s="87">
        <f>Saldobalance!A26</f>
        <v>1322</v>
      </c>
      <c r="B14" s="62">
        <f>'Regnskab og budget'!$F$2</f>
        <v>42736</v>
      </c>
      <c r="C14" s="62">
        <f>'Regnskab og budget'!$H$2</f>
        <v>43100</v>
      </c>
      <c r="D14" s="20" t="str">
        <f>'Regnskab og budget'!A29</f>
        <v>Køkkenudstyr</v>
      </c>
      <c r="E14" s="63">
        <f>'Regnskab og budget'!J29</f>
        <v>9000</v>
      </c>
      <c r="F14">
        <v>1</v>
      </c>
      <c r="G14" t="str">
        <f t="shared" si="0"/>
        <v/>
      </c>
      <c r="H14" s="68">
        <v>0</v>
      </c>
    </row>
    <row r="15" spans="1:8" ht="14" x14ac:dyDescent="0.35">
      <c r="A15" s="87">
        <f>Saldobalance!A27</f>
        <v>1323</v>
      </c>
      <c r="B15" s="62">
        <f>'Regnskab og budget'!$F$2</f>
        <v>42736</v>
      </c>
      <c r="C15" s="62">
        <f>'Regnskab og budget'!$H$2</f>
        <v>43100</v>
      </c>
      <c r="D15" s="20" t="str">
        <f>'Regnskab og budget'!A30</f>
        <v>EL-artik, pærer mv</v>
      </c>
      <c r="E15" s="63">
        <f>'Regnskab og budget'!J30</f>
        <v>3000</v>
      </c>
      <c r="F15">
        <v>1</v>
      </c>
      <c r="G15" t="str">
        <f t="shared" si="0"/>
        <v/>
      </c>
      <c r="H15" s="68">
        <v>0</v>
      </c>
    </row>
    <row r="16" spans="1:8" ht="14" x14ac:dyDescent="0.35">
      <c r="A16" s="87">
        <f>Saldobalance!A28</f>
        <v>1324</v>
      </c>
      <c r="B16" s="62">
        <f>'Regnskab og budget'!$F$2</f>
        <v>42736</v>
      </c>
      <c r="C16" s="62">
        <f>'Regnskab og budget'!$H$2</f>
        <v>43100</v>
      </c>
      <c r="D16" s="20" t="str">
        <f>'Regnskab og budget'!A31</f>
        <v>Rengøringsmidler/-artikler, papir</v>
      </c>
      <c r="E16" s="63">
        <f>'Regnskab og budget'!J31</f>
        <v>10000</v>
      </c>
      <c r="F16">
        <v>1</v>
      </c>
      <c r="G16" t="str">
        <f t="shared" si="0"/>
        <v/>
      </c>
      <c r="H16" s="68">
        <v>0</v>
      </c>
    </row>
    <row r="17" spans="1:8" ht="14" x14ac:dyDescent="0.35">
      <c r="A17" s="87">
        <f>Saldobalance!A29</f>
        <v>1325</v>
      </c>
      <c r="B17" s="62">
        <f>'Regnskab og budget'!$F$2</f>
        <v>42736</v>
      </c>
      <c r="C17" s="62">
        <f>'Regnskab og budget'!$H$2</f>
        <v>43100</v>
      </c>
      <c r="D17" s="20" t="str">
        <f>'Regnskab og budget'!A32</f>
        <v>Lys, blomster</v>
      </c>
      <c r="E17" s="63">
        <f>'Regnskab og budget'!J32</f>
        <v>500</v>
      </c>
      <c r="F17">
        <v>1</v>
      </c>
      <c r="G17" t="str">
        <f t="shared" si="0"/>
        <v/>
      </c>
      <c r="H17" s="68">
        <v>0</v>
      </c>
    </row>
    <row r="18" spans="1:8" ht="14" x14ac:dyDescent="0.35">
      <c r="A18" s="87">
        <f>Saldobalance!A30</f>
        <v>1326</v>
      </c>
      <c r="B18" s="62">
        <f>'Regnskab og budget'!$F$2</f>
        <v>42736</v>
      </c>
      <c r="C18" s="62">
        <f>'Regnskab og budget'!$H$2</f>
        <v>43100</v>
      </c>
      <c r="D18" s="20" t="str">
        <f>'Regnskab og budget'!A33</f>
        <v>Krydderier</v>
      </c>
      <c r="E18" s="63">
        <f>'Regnskab og budget'!J33</f>
        <v>2000</v>
      </c>
      <c r="F18">
        <v>1</v>
      </c>
      <c r="G18" t="str">
        <f t="shared" si="0"/>
        <v/>
      </c>
      <c r="H18" s="68">
        <v>0</v>
      </c>
    </row>
    <row r="19" spans="1:8" ht="14" x14ac:dyDescent="0.35">
      <c r="A19" s="87">
        <f>Saldobalance!A31</f>
        <v>1327</v>
      </c>
      <c r="B19" s="62">
        <f>'Regnskab og budget'!$F$2</f>
        <v>42736</v>
      </c>
      <c r="C19" s="62">
        <f>'Regnskab og budget'!$H$2</f>
        <v>43100</v>
      </c>
      <c r="D19" s="20" t="str">
        <f>'Regnskab og budget'!A34</f>
        <v>Diverse Fælleshus</v>
      </c>
      <c r="E19" s="63">
        <f>'Regnskab og budget'!J34</f>
        <v>2000</v>
      </c>
      <c r="F19">
        <v>1</v>
      </c>
      <c r="G19" t="str">
        <f t="shared" si="0"/>
        <v/>
      </c>
      <c r="H19" s="68">
        <v>0</v>
      </c>
    </row>
    <row r="20" spans="1:8" ht="14" x14ac:dyDescent="0.35">
      <c r="A20" s="87">
        <f>Saldobalance!A35</f>
        <v>1331</v>
      </c>
      <c r="B20" s="62">
        <f>'Regnskab og budget'!$F$2</f>
        <v>42736</v>
      </c>
      <c r="C20" s="62">
        <f>'Regnskab og budget'!$H$2</f>
        <v>43100</v>
      </c>
      <c r="D20" s="20" t="str">
        <f>'Regnskab og budget'!A37</f>
        <v>Gaver</v>
      </c>
      <c r="E20" s="63">
        <f>'Regnskab og budget'!J37</f>
        <v>5000</v>
      </c>
      <c r="F20">
        <v>1</v>
      </c>
      <c r="G20" t="str">
        <f t="shared" si="0"/>
        <v/>
      </c>
      <c r="H20" s="68">
        <v>0</v>
      </c>
    </row>
    <row r="21" spans="1:8" ht="14" x14ac:dyDescent="0.35">
      <c r="A21" s="87">
        <f>Saldobalance!A36</f>
        <v>1332</v>
      </c>
      <c r="B21" s="62">
        <f>'Regnskab og budget'!$F$2</f>
        <v>42736</v>
      </c>
      <c r="C21" s="62">
        <f>'Regnskab og budget'!$H$2</f>
        <v>43100</v>
      </c>
      <c r="D21" s="20" t="str">
        <f>'Regnskab og budget'!A38</f>
        <v>Fester/kultur</v>
      </c>
      <c r="E21" s="63">
        <f>'Regnskab og budget'!J38</f>
        <v>6000</v>
      </c>
      <c r="F21">
        <v>1</v>
      </c>
      <c r="G21" t="str">
        <f t="shared" si="0"/>
        <v/>
      </c>
      <c r="H21" s="68">
        <v>0</v>
      </c>
    </row>
    <row r="22" spans="1:8" ht="14" x14ac:dyDescent="0.35">
      <c r="A22" s="87">
        <f>Saldobalance!A37</f>
        <v>1333</v>
      </c>
      <c r="B22" s="62">
        <f>'Regnskab og budget'!$F$2</f>
        <v>42736</v>
      </c>
      <c r="C22" s="62">
        <f>'Regnskab og budget'!$H$2</f>
        <v>43100</v>
      </c>
      <c r="D22" s="20" t="str">
        <f>'Regnskab og budget'!A39</f>
        <v>Fortæring arbejdsweekends</v>
      </c>
      <c r="E22" s="63">
        <f>'Regnskab og budget'!J39</f>
        <v>18000</v>
      </c>
      <c r="F22">
        <v>1</v>
      </c>
      <c r="G22" t="str">
        <f t="shared" si="0"/>
        <v/>
      </c>
      <c r="H22" s="68">
        <v>0</v>
      </c>
    </row>
    <row r="23" spans="1:8" ht="14" x14ac:dyDescent="0.35">
      <c r="A23" s="87">
        <f>Saldobalance!A38</f>
        <v>1334</v>
      </c>
      <c r="B23" s="62">
        <f>'Regnskab og budget'!$F$2</f>
        <v>42736</v>
      </c>
      <c r="C23" s="62">
        <f>'Regnskab og budget'!$H$2</f>
        <v>43100</v>
      </c>
      <c r="D23" s="20" t="str">
        <f>'Regnskab og budget'!A40</f>
        <v>Fortæring generalforsamling</v>
      </c>
      <c r="E23" s="63">
        <f>'Regnskab og budget'!J40</f>
        <v>2000</v>
      </c>
      <c r="F23">
        <v>1</v>
      </c>
      <c r="G23" t="str">
        <f t="shared" si="0"/>
        <v/>
      </c>
      <c r="H23" s="68">
        <v>0</v>
      </c>
    </row>
    <row r="24" spans="1:8" ht="14" x14ac:dyDescent="0.35">
      <c r="A24" s="87">
        <f>Saldobalance!A39</f>
        <v>1335</v>
      </c>
      <c r="B24" s="62">
        <f>'Regnskab og budget'!$F$2</f>
        <v>42736</v>
      </c>
      <c r="C24" s="62">
        <f>'Regnskab og budget'!$H$2</f>
        <v>43100</v>
      </c>
      <c r="D24" s="20" t="str">
        <f>'Regnskab og budget'!A41</f>
        <v>Adventsarrangementer</v>
      </c>
      <c r="E24" s="63">
        <f>'Regnskab og budget'!J41</f>
        <v>4000</v>
      </c>
      <c r="F24">
        <v>1</v>
      </c>
      <c r="G24" t="str">
        <f t="shared" si="0"/>
        <v/>
      </c>
      <c r="H24" s="68">
        <v>0</v>
      </c>
    </row>
    <row r="25" spans="1:8" ht="14" x14ac:dyDescent="0.35">
      <c r="A25" s="87">
        <f>Saldobalance!A40</f>
        <v>1336</v>
      </c>
      <c r="B25" s="62">
        <f>'Regnskab og budget'!$F$2</f>
        <v>42736</v>
      </c>
      <c r="C25" s="62">
        <f>'Regnskab og budget'!$H$2</f>
        <v>43100</v>
      </c>
      <c r="D25" s="20" t="str">
        <f>'Regnskab og budget'!A42</f>
        <v>Fastelavn</v>
      </c>
      <c r="E25" s="63">
        <f>'Regnskab og budget'!J42</f>
        <v>2000</v>
      </c>
      <c r="F25">
        <v>1</v>
      </c>
      <c r="G25" t="str">
        <f t="shared" si="0"/>
        <v/>
      </c>
      <c r="H25" s="68">
        <v>0</v>
      </c>
    </row>
    <row r="26" spans="1:8" ht="14" x14ac:dyDescent="0.35">
      <c r="A26" s="87">
        <f>Saldobalance!A41</f>
        <v>1337</v>
      </c>
      <c r="B26" s="62">
        <f>'Regnskab og budget'!$F$2</f>
        <v>42736</v>
      </c>
      <c r="C26" s="62">
        <f>'Regnskab og budget'!$H$2</f>
        <v>43100</v>
      </c>
      <c r="D26" s="20" t="str">
        <f>'Regnskab og budget'!A43</f>
        <v>Cafemøder</v>
      </c>
      <c r="E26" s="63">
        <f>'Regnskab og budget'!J43</f>
        <v>2000</v>
      </c>
      <c r="F26">
        <v>1</v>
      </c>
      <c r="G26" t="str">
        <f t="shared" si="0"/>
        <v/>
      </c>
      <c r="H26" s="68">
        <v>0</v>
      </c>
    </row>
    <row r="27" spans="1:8" ht="14" x14ac:dyDescent="0.35">
      <c r="A27" s="87">
        <f>Saldobalance!A42</f>
        <v>1338</v>
      </c>
      <c r="B27" s="62">
        <f>'Regnskab og budget'!$F$2</f>
        <v>42736</v>
      </c>
      <c r="C27" s="62">
        <f>'Regnskab og budget'!$H$2</f>
        <v>43100</v>
      </c>
      <c r="D27" s="20" t="str">
        <f>'Regnskab og budget'!A44</f>
        <v>Bakkeweekend</v>
      </c>
      <c r="E27" s="63">
        <f>'Regnskab og budget'!J44</f>
        <v>20000</v>
      </c>
      <c r="F27">
        <v>1</v>
      </c>
      <c r="G27" t="str">
        <f t="shared" si="0"/>
        <v/>
      </c>
      <c r="H27" s="68">
        <v>0</v>
      </c>
    </row>
    <row r="28" spans="1:8" ht="14" x14ac:dyDescent="0.35">
      <c r="A28" s="87">
        <f>Saldobalance!A43</f>
        <v>1339</v>
      </c>
      <c r="B28" s="62">
        <f>'Regnskab og budget'!$F$2</f>
        <v>42736</v>
      </c>
      <c r="C28" s="62">
        <f>'Regnskab og budget'!$H$2</f>
        <v>43100</v>
      </c>
      <c r="D28" s="20" t="str">
        <f>'Regnskab og budget'!A45</f>
        <v>Skt. Hans</v>
      </c>
      <c r="E28" s="63">
        <f>'Regnskab og budget'!J45</f>
        <v>1000</v>
      </c>
      <c r="F28">
        <v>1</v>
      </c>
      <c r="G28" t="str">
        <f t="shared" si="0"/>
        <v/>
      </c>
      <c r="H28" s="68">
        <v>0</v>
      </c>
    </row>
    <row r="29" spans="1:8" ht="14" x14ac:dyDescent="0.35">
      <c r="A29" s="87">
        <f>Saldobalance!A48</f>
        <v>1351</v>
      </c>
      <c r="B29" s="62">
        <f>'Regnskab og budget'!$F$2</f>
        <v>42736</v>
      </c>
      <c r="C29" s="62">
        <f>'Regnskab og budget'!$H$2</f>
        <v>43100</v>
      </c>
      <c r="D29" s="20" t="str">
        <f>'Regnskab og budget'!A48</f>
        <v>Telefon / bredbånd</v>
      </c>
      <c r="E29" s="63">
        <f>'Regnskab og budget'!J48</f>
        <v>4000</v>
      </c>
      <c r="F29">
        <v>1</v>
      </c>
      <c r="G29" t="str">
        <f t="shared" si="0"/>
        <v/>
      </c>
      <c r="H29" s="68">
        <v>0</v>
      </c>
    </row>
    <row r="30" spans="1:8" ht="14" x14ac:dyDescent="0.35">
      <c r="A30" s="87">
        <f>Saldobalance!A49</f>
        <v>1352</v>
      </c>
      <c r="B30" s="62">
        <f>'Regnskab og budget'!$F$2</f>
        <v>42736</v>
      </c>
      <c r="C30" s="62">
        <f>'Regnskab og budget'!$H$2</f>
        <v>43100</v>
      </c>
      <c r="D30" s="20" t="str">
        <f>'Regnskab og budget'!A49</f>
        <v>TV + licens</v>
      </c>
      <c r="E30" s="63">
        <f>'Regnskab og budget'!J49</f>
        <v>5500</v>
      </c>
      <c r="F30">
        <v>1</v>
      </c>
      <c r="G30" t="str">
        <f t="shared" si="0"/>
        <v/>
      </c>
      <c r="H30" s="68">
        <v>0</v>
      </c>
    </row>
    <row r="31" spans="1:8" ht="14" x14ac:dyDescent="0.35">
      <c r="A31" s="87">
        <f>Saldobalance!A50</f>
        <v>1353</v>
      </c>
      <c r="B31" s="62">
        <f>'Regnskab og budget'!$F$2</f>
        <v>42736</v>
      </c>
      <c r="C31" s="62">
        <f>'Regnskab og budget'!$H$2</f>
        <v>43100</v>
      </c>
      <c r="D31" s="20" t="str">
        <f>'Regnskab og budget'!A50</f>
        <v>Hjemmeside/e-mail</v>
      </c>
      <c r="E31" s="63">
        <f>'Regnskab og budget'!J50</f>
        <v>500</v>
      </c>
      <c r="F31">
        <v>1</v>
      </c>
      <c r="G31" t="str">
        <f t="shared" si="0"/>
        <v/>
      </c>
      <c r="H31" s="68">
        <v>0</v>
      </c>
    </row>
    <row r="32" spans="1:8" ht="14" x14ac:dyDescent="0.35">
      <c r="A32" s="87">
        <f>Saldobalance!A51</f>
        <v>1355</v>
      </c>
      <c r="B32" s="62">
        <f>'Regnskab og budget'!$F$2</f>
        <v>42736</v>
      </c>
      <c r="C32" s="62">
        <f>'Regnskab og budget'!$H$2</f>
        <v>43100</v>
      </c>
      <c r="D32" s="20" t="str">
        <f>'Regnskab og budget'!A51</f>
        <v>Tidsskrifter</v>
      </c>
      <c r="E32" s="63">
        <f>'Regnskab og budget'!J51</f>
        <v>1000</v>
      </c>
      <c r="F32">
        <v>1</v>
      </c>
      <c r="G32" t="str">
        <f t="shared" si="0"/>
        <v/>
      </c>
      <c r="H32" s="68">
        <v>0</v>
      </c>
    </row>
    <row r="33" spans="1:8" ht="14" x14ac:dyDescent="0.35">
      <c r="A33" s="87">
        <f>Saldobalance!A55</f>
        <v>1361</v>
      </c>
      <c r="B33" s="62">
        <f>'Regnskab og budget'!$F$2</f>
        <v>42736</v>
      </c>
      <c r="C33" s="62">
        <f>'Regnskab og budget'!$H$2</f>
        <v>43100</v>
      </c>
      <c r="D33" s="20" t="str">
        <f>'Regnskab og budget'!A54</f>
        <v>Asfalt</v>
      </c>
      <c r="E33" s="63">
        <f>'Regnskab og budget'!J54</f>
        <v>200000</v>
      </c>
      <c r="F33">
        <v>1</v>
      </c>
      <c r="G33" t="str">
        <f t="shared" ref="G33:G38" si="1">IF(E33&lt;0,"Kredit","")</f>
        <v/>
      </c>
      <c r="H33" s="68">
        <v>0</v>
      </c>
    </row>
    <row r="34" spans="1:8" ht="14" x14ac:dyDescent="0.35">
      <c r="A34" s="87">
        <f>Saldobalance!A56</f>
        <v>1362</v>
      </c>
      <c r="B34" s="62">
        <f>'Regnskab og budget'!$F$2</f>
        <v>42736</v>
      </c>
      <c r="C34" s="62">
        <f>'Regnskab og budget'!$H$2</f>
        <v>43100</v>
      </c>
      <c r="D34" s="20" t="str">
        <f>'Regnskab og budget'!A55</f>
        <v>Salg af Gården</v>
      </c>
      <c r="E34" s="63">
        <f>'Regnskab og budget'!J55</f>
        <v>70000</v>
      </c>
      <c r="F34">
        <v>1</v>
      </c>
      <c r="G34" t="str">
        <f t="shared" si="1"/>
        <v/>
      </c>
      <c r="H34" s="68">
        <v>0</v>
      </c>
    </row>
    <row r="35" spans="1:8" ht="14" x14ac:dyDescent="0.35">
      <c r="A35" s="87">
        <f>Saldobalance!A57</f>
        <v>1363</v>
      </c>
      <c r="B35" s="62">
        <f>'Regnskab og budget'!$F$2</f>
        <v>42736</v>
      </c>
      <c r="C35" s="62">
        <f>'Regnskab og budget'!$H$2</f>
        <v>43100</v>
      </c>
      <c r="D35" s="20" t="str">
        <f>'Regnskab og budget'!A56</f>
        <v>Kolbøtten</v>
      </c>
      <c r="E35" s="63">
        <f>'Regnskab og budget'!J56</f>
        <v>0</v>
      </c>
      <c r="F35">
        <v>1</v>
      </c>
      <c r="G35" t="str">
        <f t="shared" si="1"/>
        <v/>
      </c>
      <c r="H35" s="68">
        <v>0</v>
      </c>
    </row>
    <row r="36" spans="1:8" ht="14" x14ac:dyDescent="0.35">
      <c r="A36" s="87">
        <f>Saldobalance!A58</f>
        <v>1364</v>
      </c>
      <c r="B36" s="62">
        <f>'Regnskab og budget'!$F$2</f>
        <v>42736</v>
      </c>
      <c r="C36" s="62">
        <f>'Regnskab og budget'!$H$2</f>
        <v>43100</v>
      </c>
      <c r="D36" s="20" t="str">
        <f>'Regnskab og budget'!A57</f>
        <v>Fælleshustorvet</v>
      </c>
      <c r="E36" s="63">
        <f>'Regnskab og budget'!J57</f>
        <v>130000</v>
      </c>
      <c r="F36">
        <v>1</v>
      </c>
      <c r="G36" t="str">
        <f t="shared" si="1"/>
        <v/>
      </c>
      <c r="H36" s="68">
        <v>0</v>
      </c>
    </row>
    <row r="37" spans="1:8" ht="14" x14ac:dyDescent="0.35">
      <c r="A37" s="87">
        <f>Saldobalance!A59</f>
        <v>1365</v>
      </c>
      <c r="B37" s="62">
        <f>'Regnskab og budget'!$F$2</f>
        <v>42736</v>
      </c>
      <c r="C37" s="62">
        <f>'Regnskab og budget'!$H$2</f>
        <v>43100</v>
      </c>
      <c r="D37" s="20" t="str">
        <f>'Regnskab og budget'!A58</f>
        <v>Svællemuren</v>
      </c>
      <c r="E37" s="63">
        <f>'Regnskab og budget'!J58</f>
        <v>205000</v>
      </c>
      <c r="F37">
        <v>1</v>
      </c>
      <c r="G37" t="str">
        <f t="shared" si="1"/>
        <v/>
      </c>
      <c r="H37" s="68">
        <v>0</v>
      </c>
    </row>
    <row r="38" spans="1:8" ht="14" x14ac:dyDescent="0.35">
      <c r="A38" s="87">
        <f>Saldobalance!A60</f>
        <v>1366</v>
      </c>
      <c r="B38" s="62">
        <f>'Regnskab og budget'!$F$2</f>
        <v>42736</v>
      </c>
      <c r="C38" s="62">
        <f>'Regnskab og budget'!$H$2</f>
        <v>43100</v>
      </c>
      <c r="D38" s="20" t="str">
        <f>'Regnskab og budget'!A59</f>
        <v>Fælleshusfornyelsen</v>
      </c>
      <c r="E38" s="63">
        <f>'Regnskab og budget'!J59</f>
        <v>0</v>
      </c>
      <c r="F38">
        <v>1</v>
      </c>
      <c r="G38" t="str">
        <f t="shared" si="1"/>
        <v/>
      </c>
      <c r="H38" s="68">
        <v>0</v>
      </c>
    </row>
    <row r="39" spans="1:8" ht="14" x14ac:dyDescent="0.35">
      <c r="A39" s="87">
        <f>Saldobalance!A61</f>
        <v>1367</v>
      </c>
      <c r="B39" s="62">
        <f>'Regnskab og budget'!$F$2</f>
        <v>42736</v>
      </c>
      <c r="C39" s="62">
        <f>'Regnskab og budget'!$H$2</f>
        <v>43100</v>
      </c>
      <c r="D39" s="20" t="str">
        <f>'Regnskab og budget'!A60</f>
        <v>Energnisterne</v>
      </c>
      <c r="E39" s="63">
        <f>'Regnskab og budget'!J60</f>
        <v>10000</v>
      </c>
      <c r="F39">
        <v>1</v>
      </c>
      <c r="G39" t="str">
        <f>IF(E39&lt;0,"Kredit","")</f>
        <v/>
      </c>
      <c r="H39" s="68">
        <v>0</v>
      </c>
    </row>
    <row r="40" spans="1:8" ht="14" x14ac:dyDescent="0.35">
      <c r="A40" s="87">
        <f>Saldobalance!A66</f>
        <v>1372</v>
      </c>
      <c r="B40" s="62">
        <f>'Regnskab og budget'!$F$2</f>
        <v>42736</v>
      </c>
      <c r="C40" s="62">
        <f>'Regnskab og budget'!$H$2</f>
        <v>43100</v>
      </c>
      <c r="D40" s="20" t="str">
        <f>'Regnskab og budget'!A63</f>
        <v>Ikke-planlagte projekter</v>
      </c>
      <c r="E40" s="63">
        <f>'Regnskab og budget'!J63</f>
        <v>40000</v>
      </c>
      <c r="F40">
        <v>1</v>
      </c>
      <c r="G40" t="str">
        <f>IF(E40&lt;0,"Kredit","")</f>
        <v/>
      </c>
      <c r="H40" s="68">
        <v>0</v>
      </c>
    </row>
    <row r="41" spans="1:8" ht="14" x14ac:dyDescent="0.35">
      <c r="A41" s="87">
        <f>Saldobalance!A67</f>
        <v>1373</v>
      </c>
      <c r="B41" s="62">
        <f>'Regnskab og budget'!$F$2</f>
        <v>42736</v>
      </c>
      <c r="C41" s="62">
        <f>'Regnskab og budget'!$H$2</f>
        <v>43100</v>
      </c>
      <c r="D41" s="20" t="str">
        <f>'Regnskab og budget'!A64</f>
        <v>Overført fra opsparingen</v>
      </c>
      <c r="E41" s="63">
        <f>'Regnskab og budget'!J64</f>
        <v>-615000</v>
      </c>
      <c r="F41">
        <v>1</v>
      </c>
      <c r="G41" t="str">
        <f>IF(E41&lt;0,"Kredit","")</f>
        <v>Kredit</v>
      </c>
      <c r="H41" s="68">
        <v>0</v>
      </c>
    </row>
    <row r="42" spans="1:8" s="144" customFormat="1" ht="14" x14ac:dyDescent="0.35">
      <c r="A42" s="87">
        <f>Saldobalance!A69</f>
        <v>1375</v>
      </c>
      <c r="B42" s="62">
        <f>'Regnskab og budget'!$F$2</f>
        <v>42736</v>
      </c>
      <c r="C42" s="62">
        <f>'Regnskab og budget'!$H$2</f>
        <v>43100</v>
      </c>
      <c r="D42" s="20" t="str">
        <f>'Regnskab og budget'!A66</f>
        <v>Genanskaffelser</v>
      </c>
      <c r="E42" s="63">
        <f>'Regnskab og budget'!K65</f>
        <v>0</v>
      </c>
      <c r="F42" s="144">
        <v>0</v>
      </c>
      <c r="G42" s="144" t="str">
        <f t="shared" ref="G42" si="2">IF(E42&lt;0,"Kredit","")</f>
        <v/>
      </c>
      <c r="H42" s="68">
        <v>0</v>
      </c>
    </row>
    <row r="43" spans="1:8" ht="14" x14ac:dyDescent="0.35">
      <c r="A43" s="87">
        <f>Saldobalance!A70</f>
        <v>1376</v>
      </c>
      <c r="B43" s="62">
        <f>'Regnskab og budget'!$F$2</f>
        <v>42736</v>
      </c>
      <c r="C43" s="62">
        <f>'Regnskab og budget'!$H$2</f>
        <v>43100</v>
      </c>
      <c r="D43" s="20" t="str">
        <f>'Regnskab og budget'!A68</f>
        <v>Nyanskaffelser</v>
      </c>
      <c r="E43" s="63">
        <f>'Regnskab og budget'!K68</f>
        <v>5000</v>
      </c>
      <c r="F43">
        <v>1</v>
      </c>
      <c r="G43" t="str">
        <f t="shared" si="0"/>
        <v/>
      </c>
      <c r="H43" s="68">
        <v>0</v>
      </c>
    </row>
    <row r="44" spans="1:8" ht="14" x14ac:dyDescent="0.35">
      <c r="A44" s="87">
        <f>Saldobalance!A71</f>
        <v>1378</v>
      </c>
      <c r="B44" s="62">
        <f>'Regnskab og budget'!$F$2</f>
        <v>42736</v>
      </c>
      <c r="C44" s="62">
        <f>'Regnskab og budget'!$H$2</f>
        <v>43100</v>
      </c>
      <c r="D44" s="20" t="str">
        <f>'Regnskab og budget'!A70</f>
        <v>Markedsføring</v>
      </c>
      <c r="E44" s="63">
        <f>'Regnskab og budget'!K70</f>
        <v>1000</v>
      </c>
      <c r="F44">
        <v>1</v>
      </c>
      <c r="G44" t="str">
        <f t="shared" si="0"/>
        <v/>
      </c>
      <c r="H44" s="68">
        <v>0</v>
      </c>
    </row>
    <row r="45" spans="1:8" ht="14" x14ac:dyDescent="0.35">
      <c r="A45" s="87">
        <f>Saldobalance!A74</f>
        <v>1381</v>
      </c>
      <c r="B45" s="62">
        <f>'Regnskab og budget'!$F$2</f>
        <v>42736</v>
      </c>
      <c r="C45" s="62">
        <f>'Regnskab og budget'!$H$2</f>
        <v>43100</v>
      </c>
      <c r="D45" s="20" t="str">
        <f>'Regnskab og budget'!A73</f>
        <v>Øvrige Fåreindtægter</v>
      </c>
      <c r="E45" s="63">
        <f>'Regnskab og budget'!K73</f>
        <v>-1500</v>
      </c>
      <c r="F45">
        <v>1</v>
      </c>
      <c r="G45" t="str">
        <f t="shared" si="0"/>
        <v>Kredit</v>
      </c>
      <c r="H45" s="68">
        <v>0</v>
      </c>
    </row>
    <row r="46" spans="1:8" ht="14" x14ac:dyDescent="0.35">
      <c r="A46" s="87">
        <f>Saldobalance!A75</f>
        <v>1382</v>
      </c>
      <c r="B46" s="62">
        <f>'Regnskab og budget'!$F$2</f>
        <v>42736</v>
      </c>
      <c r="C46" s="62">
        <f>'Regnskab og budget'!$H$2</f>
        <v>43100</v>
      </c>
      <c r="D46" s="20" t="str">
        <f>'Regnskab og budget'!A74</f>
        <v>Salg af fåreprodukter (Brutto)</v>
      </c>
      <c r="E46" s="63">
        <f>'Regnskab og budget'!K74</f>
        <v>-20000</v>
      </c>
      <c r="F46">
        <v>1</v>
      </c>
      <c r="G46" t="str">
        <f t="shared" si="0"/>
        <v>Kredit</v>
      </c>
      <c r="H46" s="68">
        <v>0</v>
      </c>
    </row>
    <row r="47" spans="1:8" ht="14" x14ac:dyDescent="0.35">
      <c r="A47" s="87">
        <f>Saldobalance!A76</f>
        <v>1383</v>
      </c>
      <c r="B47" s="62">
        <f>'Regnskab og budget'!$F$2</f>
        <v>42736</v>
      </c>
      <c r="C47" s="62">
        <f>'Regnskab og budget'!$H$2</f>
        <v>43100</v>
      </c>
      <c r="D47" s="20" t="str">
        <f>'Regnskab og budget'!A75</f>
        <v>Rabat på fåreprodukter</v>
      </c>
      <c r="E47" s="63">
        <f>'Regnskab og budget'!J75</f>
        <v>2000</v>
      </c>
      <c r="F47">
        <v>1</v>
      </c>
      <c r="G47" t="str">
        <f>IF(E47&lt;0,"Kredit","")</f>
        <v/>
      </c>
      <c r="H47" s="68">
        <v>0</v>
      </c>
    </row>
    <row r="48" spans="1:8" ht="14" x14ac:dyDescent="0.35">
      <c r="A48" s="87">
        <f>Saldobalance!A77</f>
        <v>1384</v>
      </c>
      <c r="B48" s="62">
        <f>'Regnskab og budget'!$F$2</f>
        <v>42736</v>
      </c>
      <c r="C48" s="62">
        <f>'Regnskab og budget'!$H$2</f>
        <v>43100</v>
      </c>
      <c r="D48" s="20" t="str">
        <f>'Regnskab og budget'!A76</f>
        <v>Løbende udgifter/får</v>
      </c>
      <c r="E48" s="63">
        <f>'Regnskab og budget'!J76</f>
        <v>22000</v>
      </c>
      <c r="F48">
        <v>1</v>
      </c>
      <c r="G48" t="str">
        <f t="shared" si="0"/>
        <v/>
      </c>
      <c r="H48" s="68">
        <v>0</v>
      </c>
    </row>
    <row r="49" spans="1:8" ht="14" x14ac:dyDescent="0.35">
      <c r="A49" s="87">
        <f>Saldobalance!A78</f>
        <v>1392</v>
      </c>
      <c r="B49" s="62">
        <f>'Regnskab og budget'!$F$2</f>
        <v>42736</v>
      </c>
      <c r="C49" s="62">
        <f>'Regnskab og budget'!$H$2</f>
        <v>43100</v>
      </c>
      <c r="D49" s="20" t="str">
        <f>'Regnskab og budget'!A77</f>
        <v>Engangsudgifter/får</v>
      </c>
      <c r="E49" s="63">
        <f>'Regnskab og budget'!J77</f>
        <v>3000</v>
      </c>
      <c r="F49">
        <v>1</v>
      </c>
      <c r="G49" t="str">
        <f t="shared" si="0"/>
        <v/>
      </c>
      <c r="H49" s="68">
        <v>0</v>
      </c>
    </row>
    <row r="50" spans="1:8" ht="14" x14ac:dyDescent="0.35">
      <c r="A50" s="87">
        <f>Saldobalance!A79</f>
        <v>1397</v>
      </c>
      <c r="B50" s="62">
        <f>'Regnskab og budget'!$F$2</f>
        <v>42736</v>
      </c>
      <c r="C50" s="62">
        <f>'Regnskab og budget'!$H$2</f>
        <v>43100</v>
      </c>
      <c r="D50" s="20" t="str">
        <f>'Regnskab og budget'!A78</f>
        <v>Årets udvikling/får</v>
      </c>
      <c r="E50" s="63">
        <f>'Regnskab og budget'!J78</f>
        <v>1000</v>
      </c>
      <c r="F50">
        <v>1</v>
      </c>
      <c r="G50" t="str">
        <f t="shared" si="0"/>
        <v/>
      </c>
      <c r="H50" s="68">
        <v>0</v>
      </c>
    </row>
    <row r="51" spans="1:8" ht="14" x14ac:dyDescent="0.35">
      <c r="A51" s="87">
        <f>Saldobalance!A83</f>
        <v>1410</v>
      </c>
      <c r="B51" s="62">
        <f>'Regnskab og budget'!$F$2</f>
        <v>42736</v>
      </c>
      <c r="C51" s="62">
        <f>'Regnskab og budget'!$H$2</f>
        <v>43100</v>
      </c>
      <c r="D51" s="20" t="str">
        <f>'Regnskab og budget'!A81</f>
        <v>Huslejeopkrævet</v>
      </c>
      <c r="E51" s="63">
        <f>'Regnskab og budget'!K81</f>
        <v>-60140</v>
      </c>
      <c r="F51">
        <v>1</v>
      </c>
      <c r="G51" t="str">
        <f t="shared" si="0"/>
        <v>Kredit</v>
      </c>
      <c r="H51" s="68">
        <v>0</v>
      </c>
    </row>
    <row r="52" spans="1:8" ht="14" x14ac:dyDescent="0.35">
      <c r="A52" s="87">
        <f>Saldobalance!A84</f>
        <v>1420</v>
      </c>
      <c r="B52" s="62">
        <f>'Regnskab og budget'!$F$2</f>
        <v>42736</v>
      </c>
      <c r="C52" s="62">
        <f>'Regnskab og budget'!$H$2</f>
        <v>43100</v>
      </c>
      <c r="D52" s="20" t="str">
        <f>Saldobalance!B84</f>
        <v>Ikke længere i brug</v>
      </c>
      <c r="E52" s="63">
        <v>0</v>
      </c>
      <c r="F52">
        <v>1</v>
      </c>
      <c r="G52" t="str">
        <f t="shared" si="0"/>
        <v/>
      </c>
      <c r="H52" s="68">
        <v>0</v>
      </c>
    </row>
    <row r="53" spans="1:8" ht="14" x14ac:dyDescent="0.35">
      <c r="A53" s="87">
        <f>Saldobalance!A85</f>
        <v>1425</v>
      </c>
      <c r="B53" s="62">
        <f>'Regnskab og budget'!$F$2</f>
        <v>42736</v>
      </c>
      <c r="C53" s="62">
        <f>'Regnskab og budget'!$H$2</f>
        <v>43100</v>
      </c>
      <c r="D53" s="20" t="str">
        <f>'Regnskab og budget'!A82</f>
        <v>EL opkrævet</v>
      </c>
      <c r="E53" s="63">
        <f>'Regnskab og budget'!K82</f>
        <v>-4000</v>
      </c>
      <c r="F53">
        <v>1</v>
      </c>
      <c r="G53" t="str">
        <f t="shared" si="0"/>
        <v>Kredit</v>
      </c>
      <c r="H53" s="68">
        <v>0</v>
      </c>
    </row>
    <row r="54" spans="1:8" ht="14" x14ac:dyDescent="0.35">
      <c r="A54" s="87">
        <f>Saldobalance!A86</f>
        <v>1427</v>
      </c>
      <c r="B54" s="62">
        <f>'Regnskab og budget'!$F$2</f>
        <v>42736</v>
      </c>
      <c r="C54" s="62">
        <f>'Regnskab og budget'!$H$2</f>
        <v>43100</v>
      </c>
      <c r="D54" s="20" t="str">
        <f>'Regnskab og budget'!A83</f>
        <v xml:space="preserve">DONG - EL </v>
      </c>
      <c r="E54" s="63">
        <f>'Regnskab og budget'!J83</f>
        <v>4000</v>
      </c>
      <c r="F54">
        <v>1</v>
      </c>
      <c r="G54" t="str">
        <f t="shared" si="0"/>
        <v/>
      </c>
      <c r="H54" s="68">
        <v>0</v>
      </c>
    </row>
    <row r="55" spans="1:8" ht="14" x14ac:dyDescent="0.35">
      <c r="A55" s="87">
        <f>Saldobalance!A87</f>
        <v>1430</v>
      </c>
      <c r="B55" s="62">
        <f>'Regnskab og budget'!$F$2</f>
        <v>42736</v>
      </c>
      <c r="C55" s="62">
        <f>'Regnskab og budget'!$H$2</f>
        <v>43100</v>
      </c>
      <c r="D55" s="20" t="str">
        <f>'Regnskab og budget'!A84</f>
        <v>GEF</v>
      </c>
      <c r="E55" s="63">
        <f>'Regnskab og budget'!J84</f>
        <v>19717.5</v>
      </c>
      <c r="F55">
        <v>1</v>
      </c>
      <c r="G55" t="str">
        <f t="shared" si="0"/>
        <v/>
      </c>
      <c r="H55" s="68">
        <v>0</v>
      </c>
    </row>
    <row r="56" spans="1:8" ht="14" x14ac:dyDescent="0.35">
      <c r="A56" s="87">
        <f>Saldobalance!A88</f>
        <v>1440</v>
      </c>
      <c r="B56" s="62">
        <f>'Regnskab og budget'!$F$2</f>
        <v>42736</v>
      </c>
      <c r="C56" s="62">
        <f>'Regnskab og budget'!$H$2</f>
        <v>43100</v>
      </c>
      <c r="D56" s="20" t="str">
        <f>'Regnskab og budget'!A85</f>
        <v>Renovation</v>
      </c>
      <c r="E56" s="63">
        <f>'Regnskab og budget'!J85</f>
        <v>2213.7316666666666</v>
      </c>
      <c r="F56">
        <v>1</v>
      </c>
      <c r="G56" t="str">
        <f t="shared" si="0"/>
        <v/>
      </c>
      <c r="H56" s="68">
        <v>0</v>
      </c>
    </row>
    <row r="57" spans="1:8" ht="14" x14ac:dyDescent="0.35">
      <c r="A57" s="87">
        <f>Saldobalance!A89</f>
        <v>1450</v>
      </c>
      <c r="B57" s="62">
        <f>'Regnskab og budget'!$F$2</f>
        <v>42736</v>
      </c>
      <c r="C57" s="62">
        <f>'Regnskab og budget'!$H$2</f>
        <v>43100</v>
      </c>
      <c r="D57" s="20" t="str">
        <f>'Regnskab og budget'!A86</f>
        <v>Ejendomsskat</v>
      </c>
      <c r="E57" s="63">
        <f>'Regnskab og budget'!J86</f>
        <v>18597.39</v>
      </c>
      <c r="F57">
        <v>1</v>
      </c>
      <c r="G57" t="str">
        <f t="shared" si="0"/>
        <v/>
      </c>
      <c r="H57" s="68">
        <v>0</v>
      </c>
    </row>
    <row r="58" spans="1:8" ht="14" x14ac:dyDescent="0.35">
      <c r="A58" s="87">
        <f>Saldobalance!A90</f>
        <v>1460</v>
      </c>
      <c r="B58" s="62">
        <f>'Regnskab og budget'!$F$2</f>
        <v>42736</v>
      </c>
      <c r="C58" s="62">
        <f>'Regnskab og budget'!$H$2</f>
        <v>43100</v>
      </c>
      <c r="D58" s="20" t="str">
        <f>'Regnskab og budget'!A87</f>
        <v>Forsikringer - 4.318.305.792</v>
      </c>
      <c r="E58" s="63">
        <f>'Regnskab og budget'!J87</f>
        <v>4800</v>
      </c>
      <c r="F58">
        <v>1</v>
      </c>
      <c r="G58" t="str">
        <f t="shared" si="0"/>
        <v/>
      </c>
      <c r="H58" s="68">
        <v>0</v>
      </c>
    </row>
    <row r="59" spans="1:8" ht="14" x14ac:dyDescent="0.35">
      <c r="A59" s="87">
        <f>Saldobalance!A91</f>
        <v>1470</v>
      </c>
      <c r="B59" s="62">
        <f>'Regnskab og budget'!$F$2</f>
        <v>42736</v>
      </c>
      <c r="C59" s="62">
        <f>'Regnskab og budget'!$H$2</f>
        <v>43100</v>
      </c>
      <c r="D59" s="20" t="str">
        <f>'Regnskab og budget'!A88</f>
        <v>Udv. Vedligehold Gården</v>
      </c>
      <c r="E59" s="63">
        <f>'Regnskab og budget'!J88</f>
        <v>5000</v>
      </c>
      <c r="F59">
        <v>1</v>
      </c>
      <c r="G59" t="str">
        <f t="shared" si="0"/>
        <v/>
      </c>
      <c r="H59" s="68">
        <v>0</v>
      </c>
    </row>
    <row r="60" spans="1:8" ht="14" x14ac:dyDescent="0.35">
      <c r="A60" s="87">
        <f>Saldobalance!A92</f>
        <v>1480</v>
      </c>
      <c r="B60" s="62">
        <f>'Regnskab og budget'!$F$2</f>
        <v>42736</v>
      </c>
      <c r="C60" s="62">
        <f>'Regnskab og budget'!$H$2</f>
        <v>43100</v>
      </c>
      <c r="D60" s="20" t="str">
        <f>'Regnskab og budget'!A89</f>
        <v>Indv. Vedligehold Gården</v>
      </c>
      <c r="E60" s="63">
        <f>'Regnskab og budget'!J89</f>
        <v>18000</v>
      </c>
      <c r="F60">
        <v>1</v>
      </c>
      <c r="G60" t="str">
        <f t="shared" si="0"/>
        <v/>
      </c>
      <c r="H60" s="68">
        <v>0</v>
      </c>
    </row>
    <row r="61" spans="1:8" ht="14" x14ac:dyDescent="0.35">
      <c r="A61" s="87">
        <f>Saldobalance!A96</f>
        <v>1997</v>
      </c>
      <c r="B61" s="62">
        <f>'Regnskab og budget'!$F$2</f>
        <v>42736</v>
      </c>
      <c r="C61" s="62">
        <f>'Regnskab og budget'!$H$2</f>
        <v>43100</v>
      </c>
      <c r="D61" s="20" t="str">
        <f>'Regnskab og budget'!A91</f>
        <v>Diverse variable udgifter</v>
      </c>
      <c r="E61" s="63">
        <f>'Regnskab og budget'!K91</f>
        <v>0</v>
      </c>
      <c r="F61">
        <v>1</v>
      </c>
      <c r="G61" t="str">
        <f t="shared" si="0"/>
        <v/>
      </c>
      <c r="H61" s="68">
        <v>0</v>
      </c>
    </row>
    <row r="62" spans="1:8" ht="14" x14ac:dyDescent="0.35">
      <c r="A62" s="87">
        <f>Saldobalance!A101</f>
        <v>2210</v>
      </c>
      <c r="B62" s="62">
        <f>'Regnskab og budget'!$F$2</f>
        <v>42736</v>
      </c>
      <c r="C62" s="62">
        <f>'Regnskab og budget'!$H$2</f>
        <v>43100</v>
      </c>
      <c r="D62" s="20" t="str">
        <f>'Regnskab og budget'!A99</f>
        <v>Ejendomsskat</v>
      </c>
      <c r="E62" s="63">
        <f>'Regnskab og budget'!K99</f>
        <v>41937</v>
      </c>
      <c r="F62">
        <v>1</v>
      </c>
      <c r="G62" t="str">
        <f t="shared" si="0"/>
        <v/>
      </c>
      <c r="H62" s="68">
        <v>0</v>
      </c>
    </row>
    <row r="63" spans="1:8" ht="14" x14ac:dyDescent="0.35">
      <c r="A63" s="87">
        <f>Saldobalance!A102</f>
        <v>2220</v>
      </c>
      <c r="B63" s="62">
        <f>'Regnskab og budget'!$F$2</f>
        <v>42736</v>
      </c>
      <c r="C63" s="62">
        <f>'Regnskab og budget'!$H$2</f>
        <v>43100</v>
      </c>
      <c r="D63" s="20" t="str">
        <f>'Regnskab og budget'!A101</f>
        <v>Forsikringer</v>
      </c>
      <c r="E63" s="63">
        <f>'Regnskab og budget'!K101</f>
        <v>41700</v>
      </c>
      <c r="F63">
        <v>1</v>
      </c>
      <c r="G63" t="str">
        <f t="shared" si="0"/>
        <v/>
      </c>
      <c r="H63" s="68">
        <v>0</v>
      </c>
    </row>
    <row r="64" spans="1:8" ht="14" x14ac:dyDescent="0.35">
      <c r="A64" s="87">
        <f>Saldobalance!A105</f>
        <v>2231</v>
      </c>
      <c r="B64" s="62">
        <f>'Regnskab og budget'!$F$2</f>
        <v>42736</v>
      </c>
      <c r="C64" s="62">
        <f>'Regnskab og budget'!$H$2</f>
        <v>43100</v>
      </c>
      <c r="D64" s="20" t="str">
        <f>'Regnskab og budget'!A104</f>
        <v>7AV - Stuehuset + Østlængen</v>
      </c>
      <c r="E64" s="63">
        <f>'Regnskab og budget'!J104</f>
        <v>29275.35191211661</v>
      </c>
      <c r="F64">
        <v>1</v>
      </c>
      <c r="G64" t="str">
        <f t="shared" si="0"/>
        <v/>
      </c>
      <c r="H64" s="68">
        <v>0</v>
      </c>
    </row>
    <row r="65" spans="1:8" ht="14" x14ac:dyDescent="0.35">
      <c r="A65" s="87">
        <f>Saldobalance!A106</f>
        <v>2232</v>
      </c>
      <c r="B65" s="62">
        <f>'Regnskab og budget'!$F$2</f>
        <v>42736</v>
      </c>
      <c r="C65" s="62">
        <f>'Regnskab og budget'!$H$2</f>
        <v>43100</v>
      </c>
      <c r="D65" s="20" t="str">
        <f>'Regnskab og budget'!A105</f>
        <v>Komfur &amp; Ovn, ????</v>
      </c>
      <c r="E65" s="63">
        <f>'Regnskab og budget'!J105</f>
        <v>10039.433106815231</v>
      </c>
      <c r="F65">
        <v>1</v>
      </c>
      <c r="G65" t="str">
        <f t="shared" si="0"/>
        <v/>
      </c>
      <c r="H65" s="68">
        <v>0</v>
      </c>
    </row>
    <row r="66" spans="1:8" ht="14" x14ac:dyDescent="0.35">
      <c r="A66" s="87">
        <f>Saldobalance!A107</f>
        <v>2233</v>
      </c>
      <c r="B66" s="62">
        <f>'Regnskab og budget'!$F$2</f>
        <v>42736</v>
      </c>
      <c r="C66" s="62">
        <f>'Regnskab og budget'!$H$2</f>
        <v>43100</v>
      </c>
      <c r="D66" s="20" t="str">
        <f>'Regnskab og budget'!A106</f>
        <v>Fyrudskiftning, 1999</v>
      </c>
      <c r="E66" s="63">
        <f>'Regnskab og budget'!J106</f>
        <v>172513.29309346108</v>
      </c>
      <c r="F66">
        <v>1</v>
      </c>
      <c r="G66" t="str">
        <f t="shared" si="0"/>
        <v/>
      </c>
      <c r="H66" s="68">
        <v>0</v>
      </c>
    </row>
    <row r="67" spans="1:8" ht="14" x14ac:dyDescent="0.35">
      <c r="A67" s="87">
        <f>Saldobalance!A108</f>
        <v>2234</v>
      </c>
      <c r="B67" s="62">
        <f>'Regnskab og budget'!$F$2</f>
        <v>42736</v>
      </c>
      <c r="C67" s="62">
        <f>'Regnskab og budget'!$H$2</f>
        <v>43100</v>
      </c>
      <c r="D67" s="20" t="str">
        <f>'Regnskab og budget'!A107</f>
        <v>Tørretumbler, 1999</v>
      </c>
      <c r="E67" s="63">
        <f>'Regnskab og budget'!J107</f>
        <v>6442.7189259131173</v>
      </c>
      <c r="F67">
        <v>1</v>
      </c>
      <c r="G67" t="str">
        <f t="shared" si="0"/>
        <v/>
      </c>
      <c r="H67" s="68">
        <v>0</v>
      </c>
    </row>
    <row r="68" spans="1:8" ht="14" x14ac:dyDescent="0.35">
      <c r="A68" s="87">
        <f>Saldobalance!A109</f>
        <v>2235</v>
      </c>
      <c r="B68" s="62">
        <f>'Regnskab og budget'!$F$2</f>
        <v>42736</v>
      </c>
      <c r="C68" s="62">
        <f>'Regnskab og budget'!$H$2</f>
        <v>43100</v>
      </c>
      <c r="D68" s="20" t="str">
        <f>'Regnskab og budget'!A108</f>
        <v>Vaskemaskiner, 2011</v>
      </c>
      <c r="E68" s="63">
        <f>'Regnskab og budget'!J108</f>
        <v>7855</v>
      </c>
      <c r="F68">
        <v>1</v>
      </c>
      <c r="G68" t="str">
        <f t="shared" si="0"/>
        <v/>
      </c>
      <c r="H68" s="68">
        <v>0</v>
      </c>
    </row>
    <row r="69" spans="1:8" ht="14" x14ac:dyDescent="0.35">
      <c r="A69" s="87">
        <f>Saldobalance!A113</f>
        <v>2251</v>
      </c>
      <c r="B69" s="62">
        <f>'Regnskab og budget'!$F$2</f>
        <v>42736</v>
      </c>
      <c r="C69" s="62">
        <f>'Regnskab og budget'!$H$2</f>
        <v>43100</v>
      </c>
      <c r="D69" s="3" t="s">
        <v>346</v>
      </c>
      <c r="E69" s="63">
        <f>'Regnskab og budget'!J111</f>
        <v>0</v>
      </c>
      <c r="F69">
        <v>1</v>
      </c>
      <c r="G69" t="str">
        <f t="shared" si="0"/>
        <v/>
      </c>
      <c r="H69" s="68">
        <v>0</v>
      </c>
    </row>
    <row r="70" spans="1:8" s="141" customFormat="1" ht="14" x14ac:dyDescent="0.35">
      <c r="A70" s="87">
        <v>2252</v>
      </c>
      <c r="B70" s="62">
        <v>42005</v>
      </c>
      <c r="C70" s="62">
        <v>42369</v>
      </c>
      <c r="D70" s="3" t="s">
        <v>347</v>
      </c>
      <c r="E70" s="63">
        <v>0</v>
      </c>
      <c r="F70" s="141">
        <v>1</v>
      </c>
      <c r="G70" s="107" t="s">
        <v>27</v>
      </c>
      <c r="H70" s="68">
        <v>0</v>
      </c>
    </row>
    <row r="71" spans="1:8" ht="14" x14ac:dyDescent="0.35">
      <c r="A71" s="87">
        <f>Saldobalance!A117</f>
        <v>2258</v>
      </c>
      <c r="B71" s="62">
        <f>'Regnskab og budget'!$F$2</f>
        <v>42736</v>
      </c>
      <c r="C71" s="62">
        <f>'Regnskab og budget'!$H$2</f>
        <v>43100</v>
      </c>
      <c r="D71" s="20" t="str">
        <f>'Regnskab og budget'!A114</f>
        <v>Andre renter og gebyrer</v>
      </c>
      <c r="E71" s="63">
        <f>'Regnskab og budget'!J114</f>
        <v>0</v>
      </c>
      <c r="F71">
        <v>1</v>
      </c>
      <c r="G71" t="str">
        <f t="shared" si="0"/>
        <v/>
      </c>
      <c r="H71" s="68">
        <v>0</v>
      </c>
    </row>
    <row r="72" spans="1:8" ht="14" x14ac:dyDescent="0.35">
      <c r="A72" s="87">
        <f>Saldobalance!A121</f>
        <v>2261</v>
      </c>
      <c r="B72" s="62">
        <f>'Regnskab og budget'!$F$2</f>
        <v>42736</v>
      </c>
      <c r="C72" s="62">
        <f>'Regnskab og budget'!$H$2</f>
        <v>43100</v>
      </c>
      <c r="D72" s="20" t="str">
        <f>'Regnskab og budget'!A117</f>
        <v>Renovation</v>
      </c>
      <c r="E72" s="63">
        <f>'Regnskab og budget'!J117</f>
        <v>11815.025000000001</v>
      </c>
      <c r="F72">
        <v>1</v>
      </c>
      <c r="G72" t="str">
        <f t="shared" si="0"/>
        <v/>
      </c>
      <c r="H72" s="68">
        <v>0</v>
      </c>
    </row>
    <row r="73" spans="1:8" ht="14" x14ac:dyDescent="0.35">
      <c r="A73" s="87">
        <f>Saldobalance!A122</f>
        <v>2262</v>
      </c>
      <c r="B73" s="62">
        <f>'Regnskab og budget'!$F$2</f>
        <v>42736</v>
      </c>
      <c r="C73" s="62">
        <f>'Regnskab og budget'!$H$2</f>
        <v>43100</v>
      </c>
      <c r="D73" s="20" t="str">
        <f>'Regnskab og budget'!A118</f>
        <v>EL</v>
      </c>
      <c r="E73" s="63">
        <f>'Regnskab og budget'!J118</f>
        <v>61000</v>
      </c>
      <c r="F73">
        <v>1</v>
      </c>
      <c r="G73" t="str">
        <f t="shared" si="0"/>
        <v/>
      </c>
      <c r="H73" s="68">
        <v>0</v>
      </c>
    </row>
    <row r="74" spans="1:8" ht="14" x14ac:dyDescent="0.35">
      <c r="A74" s="87">
        <f>Saldobalance!A123</f>
        <v>2263</v>
      </c>
      <c r="B74" s="62">
        <f>'Regnskab og budget'!$F$2</f>
        <v>42736</v>
      </c>
      <c r="C74" s="62">
        <f>'Regnskab og budget'!$H$2</f>
        <v>43100</v>
      </c>
      <c r="D74" s="20" t="str">
        <f>'Regnskab og budget'!A119</f>
        <v>Varme / gas</v>
      </c>
      <c r="E74" s="63">
        <f>'Regnskab og budget'!J119</f>
        <v>28458</v>
      </c>
      <c r="F74">
        <v>1</v>
      </c>
      <c r="G74" t="str">
        <f t="shared" si="0"/>
        <v/>
      </c>
      <c r="H74" s="68">
        <v>0</v>
      </c>
    </row>
    <row r="75" spans="1:8" ht="14" x14ac:dyDescent="0.35">
      <c r="A75" s="87">
        <f>Saldobalance!A124</f>
        <v>2264</v>
      </c>
      <c r="B75" s="62">
        <f>'Regnskab og budget'!$F$2</f>
        <v>42736</v>
      </c>
      <c r="C75" s="62">
        <f>'Regnskab og budget'!$H$2</f>
        <v>43100</v>
      </c>
      <c r="D75" s="20" t="str">
        <f>'Regnskab og budget'!A120</f>
        <v>Vand</v>
      </c>
      <c r="E75" s="63">
        <f>'Regnskab og budget'!J120</f>
        <v>18684</v>
      </c>
      <c r="F75">
        <v>1</v>
      </c>
      <c r="G75" t="str">
        <f t="shared" si="0"/>
        <v/>
      </c>
      <c r="H75" s="68">
        <v>0</v>
      </c>
    </row>
    <row r="76" spans="1:8" ht="14" x14ac:dyDescent="0.35">
      <c r="A76" s="87">
        <f>Saldobalance!A125</f>
        <v>2265</v>
      </c>
      <c r="B76" s="62">
        <f>'Regnskab og budget'!$F$2</f>
        <v>42736</v>
      </c>
      <c r="C76" s="62">
        <f>'Regnskab og budget'!$H$2</f>
        <v>43100</v>
      </c>
      <c r="D76" s="20" t="str">
        <f>'Regnskab og budget'!A121</f>
        <v>Vask</v>
      </c>
      <c r="E76" s="63">
        <f>'Regnskab og budget'!J121</f>
        <v>3251.4285714285716</v>
      </c>
      <c r="F76">
        <v>1</v>
      </c>
      <c r="G76" t="str">
        <f t="shared" si="0"/>
        <v/>
      </c>
      <c r="H76" s="68">
        <v>0</v>
      </c>
    </row>
    <row r="77" spans="1:8" ht="14" x14ac:dyDescent="0.35">
      <c r="A77" s="87">
        <f>Saldobalance!A129</f>
        <v>2271</v>
      </c>
      <c r="B77" s="62">
        <f>'Regnskab og budget'!$F$2</f>
        <v>42736</v>
      </c>
      <c r="C77" s="62">
        <f>'Regnskab og budget'!$H$2</f>
        <v>43100</v>
      </c>
      <c r="D77" s="20" t="str">
        <f>'Regnskab og budget'!A124</f>
        <v>Drift af bestyrelsen</v>
      </c>
      <c r="E77" s="63">
        <f>'Regnskab og budget'!J124</f>
        <v>6500</v>
      </c>
      <c r="F77">
        <v>1</v>
      </c>
      <c r="G77" t="str">
        <f t="shared" si="0"/>
        <v/>
      </c>
      <c r="H77" s="68">
        <v>0</v>
      </c>
    </row>
    <row r="78" spans="1:8" ht="14" x14ac:dyDescent="0.35">
      <c r="A78" s="87">
        <f>Saldobalance!A130</f>
        <v>2272</v>
      </c>
      <c r="B78" s="62">
        <f>'Regnskab og budget'!$F$2</f>
        <v>42736</v>
      </c>
      <c r="C78" s="62">
        <f>'Regnskab og budget'!$H$2</f>
        <v>43100</v>
      </c>
      <c r="D78" s="20" t="str">
        <f>'Regnskab og budget'!A125</f>
        <v>Kontorartikler og Porto</v>
      </c>
      <c r="E78" s="63">
        <f>'Regnskab og budget'!J125</f>
        <v>1000</v>
      </c>
      <c r="F78">
        <v>1</v>
      </c>
      <c r="G78" t="str">
        <f t="shared" ref="G78:G85" si="3">IF(E78&lt;0,"Kredit","")</f>
        <v/>
      </c>
      <c r="H78" s="68">
        <v>0</v>
      </c>
    </row>
    <row r="79" spans="1:8" ht="14" x14ac:dyDescent="0.35">
      <c r="A79" s="87">
        <f>Saldobalance!A131</f>
        <v>2273</v>
      </c>
      <c r="B79" s="62">
        <f>'Regnskab og budget'!$F$2</f>
        <v>42736</v>
      </c>
      <c r="C79" s="62">
        <f>'Regnskab og budget'!$H$2</f>
        <v>43100</v>
      </c>
      <c r="D79" s="20" t="str">
        <f>'Regnskab og budget'!A126</f>
        <v>Økonomisystem</v>
      </c>
      <c r="E79" s="63">
        <f>'Regnskab og budget'!J126</f>
        <v>6000</v>
      </c>
      <c r="F79">
        <v>1</v>
      </c>
      <c r="G79" t="str">
        <f t="shared" si="3"/>
        <v/>
      </c>
      <c r="H79" s="68">
        <v>0</v>
      </c>
    </row>
    <row r="80" spans="1:8" ht="14" x14ac:dyDescent="0.35">
      <c r="A80" s="87">
        <f>Saldobalance!A135</f>
        <v>2282</v>
      </c>
      <c r="B80" s="62">
        <f>'Regnskab og budget'!$F$2</f>
        <v>42736</v>
      </c>
      <c r="C80" s="62">
        <f>'Regnskab og budget'!$H$2</f>
        <v>43100</v>
      </c>
      <c r="D80" s="20" t="str">
        <f>'Regnskab og budget'!A129</f>
        <v>GEF-regnskab</v>
      </c>
      <c r="E80" s="63">
        <f>'Regnskab og budget'!J129</f>
        <v>17500</v>
      </c>
      <c r="F80">
        <v>1</v>
      </c>
      <c r="G80" t="str">
        <f t="shared" si="3"/>
        <v/>
      </c>
      <c r="H80" s="68">
        <v>0</v>
      </c>
    </row>
    <row r="81" spans="1:8" ht="14" x14ac:dyDescent="0.35">
      <c r="A81" s="87">
        <f>Saldobalance!A136</f>
        <v>2284</v>
      </c>
      <c r="B81" s="62">
        <f>'Regnskab og budget'!$F$2</f>
        <v>42736</v>
      </c>
      <c r="C81" s="62">
        <f>'Regnskab og budget'!$H$2</f>
        <v>43100</v>
      </c>
      <c r="D81" s="20" t="str">
        <f>'Regnskab og budget'!A130</f>
        <v>IS-regnskab</v>
      </c>
      <c r="E81" s="63">
        <f>'Regnskab og budget'!J130</f>
        <v>9200</v>
      </c>
      <c r="F81">
        <v>1</v>
      </c>
      <c r="G81" t="str">
        <f t="shared" si="3"/>
        <v/>
      </c>
      <c r="H81" s="68">
        <v>0</v>
      </c>
    </row>
    <row r="82" spans="1:8" ht="14" x14ac:dyDescent="0.35">
      <c r="A82" s="87">
        <f>Saldobalance!A140</f>
        <v>2292</v>
      </c>
      <c r="B82" s="62">
        <f>'Regnskab og budget'!$F$2</f>
        <v>42736</v>
      </c>
      <c r="C82" s="62">
        <f>'Regnskab og budget'!$H$2</f>
        <v>43100</v>
      </c>
      <c r="D82" s="20" t="str">
        <f>'Regnskab og budget'!A133</f>
        <v>Tab på Bofæller</v>
      </c>
      <c r="E82" s="63">
        <f>'Regnskab og budget'!J133</f>
        <v>0</v>
      </c>
      <c r="F82">
        <v>1</v>
      </c>
      <c r="G82" t="str">
        <f t="shared" si="3"/>
        <v/>
      </c>
      <c r="H82" s="68">
        <v>0</v>
      </c>
    </row>
    <row r="83" spans="1:8" ht="14" x14ac:dyDescent="0.35">
      <c r="A83" s="87">
        <f>Saldobalance!A141</f>
        <v>2293</v>
      </c>
      <c r="B83" s="62">
        <f>'Regnskab og budget'!$F$2</f>
        <v>42736</v>
      </c>
      <c r="C83" s="62">
        <f>'Regnskab og budget'!$H$2</f>
        <v>43100</v>
      </c>
      <c r="D83" s="20" t="str">
        <f>'Regnskab og budget'!A134</f>
        <v>Øredifferencer</v>
      </c>
      <c r="E83" s="63">
        <f>'Regnskab og budget'!J134</f>
        <v>0</v>
      </c>
      <c r="F83">
        <v>1</v>
      </c>
      <c r="G83" t="str">
        <f t="shared" si="3"/>
        <v/>
      </c>
      <c r="H83" s="68">
        <v>0</v>
      </c>
    </row>
    <row r="84" spans="1:8" ht="14" x14ac:dyDescent="0.35">
      <c r="A84" s="87">
        <f>Saldobalance!A142</f>
        <v>2294</v>
      </c>
      <c r="B84" s="62">
        <f>'Regnskab og budget'!$F$2</f>
        <v>42736</v>
      </c>
      <c r="C84" s="62">
        <f>'Regnskab og budget'!$H$2</f>
        <v>43100</v>
      </c>
      <c r="D84" s="20" t="str">
        <f>'Regnskab og budget'!A135</f>
        <v>Afrundingsfejl på Sol-projekt</v>
      </c>
      <c r="E84" s="63">
        <f>'Regnskab og budget'!J135</f>
        <v>0</v>
      </c>
      <c r="F84">
        <v>1</v>
      </c>
      <c r="G84" t="str">
        <f t="shared" si="3"/>
        <v/>
      </c>
      <c r="H84" s="68">
        <v>0</v>
      </c>
    </row>
    <row r="85" spans="1:8" ht="14" x14ac:dyDescent="0.35">
      <c r="A85" s="87">
        <f>Saldobalance!A143</f>
        <v>2295</v>
      </c>
      <c r="B85" s="62">
        <f>'Regnskab og budget'!$F$2</f>
        <v>42736</v>
      </c>
      <c r="C85" s="62">
        <f>'Regnskab og budget'!$H$2</f>
        <v>43100</v>
      </c>
      <c r="D85" s="20" t="str">
        <f>'Regnskab og budget'!A136</f>
        <v>Diverse omkostninger</v>
      </c>
      <c r="E85" s="63">
        <f>'Regnskab og budget'!J136</f>
        <v>2000</v>
      </c>
      <c r="F85">
        <v>1</v>
      </c>
      <c r="G85" t="str">
        <f t="shared" si="3"/>
        <v/>
      </c>
      <c r="H85" s="68">
        <v>0</v>
      </c>
    </row>
  </sheetData>
  <protectedRanges>
    <protectedRange sqref="H46:H85 H2:H44" name="Område1"/>
  </protectedRanges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9"/>
  <sheetViews>
    <sheetView topLeftCell="A148" workbookViewId="0">
      <selection activeCell="G177" sqref="G177"/>
    </sheetView>
  </sheetViews>
  <sheetFormatPr defaultRowHeight="12.5" x14ac:dyDescent="0.25"/>
  <cols>
    <col min="1" max="1" width="8.1796875" bestFit="1" customWidth="1"/>
    <col min="2" max="2" width="34.81640625" bestFit="1" customWidth="1"/>
    <col min="3" max="3" width="10.54296875" bestFit="1" customWidth="1"/>
    <col min="4" max="4" width="20.1796875" bestFit="1" customWidth="1"/>
    <col min="5" max="5" width="11" bestFit="1" customWidth="1"/>
    <col min="6" max="6" width="11.81640625" bestFit="1" customWidth="1"/>
    <col min="7" max="7" width="10.26953125" bestFit="1" customWidth="1"/>
    <col min="8" max="8" width="16.54296875" bestFit="1" customWidth="1"/>
    <col min="9" max="9" width="8.54296875" bestFit="1" customWidth="1"/>
    <col min="10" max="10" width="15.26953125" bestFit="1" customWidth="1"/>
    <col min="11" max="12" width="6.54296875" bestFit="1" customWidth="1"/>
    <col min="13" max="13" width="16.453125" bestFit="1" customWidth="1"/>
  </cols>
  <sheetData>
    <row r="1" spans="1:13" ht="14.5" x14ac:dyDescent="0.35">
      <c r="A1" s="59" t="s">
        <v>18</v>
      </c>
      <c r="B1" s="59" t="s">
        <v>88</v>
      </c>
      <c r="C1" s="59" t="s">
        <v>23</v>
      </c>
      <c r="D1" s="59" t="s">
        <v>89</v>
      </c>
      <c r="E1" s="59" t="s">
        <v>90</v>
      </c>
      <c r="F1" s="59" t="s">
        <v>24</v>
      </c>
      <c r="G1" s="59" t="s">
        <v>91</v>
      </c>
      <c r="H1" s="59" t="s">
        <v>92</v>
      </c>
      <c r="I1" s="59" t="s">
        <v>93</v>
      </c>
      <c r="J1" s="59" t="s">
        <v>94</v>
      </c>
      <c r="K1" s="59" t="s">
        <v>95</v>
      </c>
      <c r="L1" s="59" t="s">
        <v>96</v>
      </c>
      <c r="M1" s="59" t="s">
        <v>97</v>
      </c>
    </row>
    <row r="2" spans="1:13" ht="14" x14ac:dyDescent="0.35">
      <c r="A2" s="74">
        <v>1000</v>
      </c>
      <c r="B2" s="75" t="s">
        <v>98</v>
      </c>
      <c r="C2">
        <v>5</v>
      </c>
    </row>
    <row r="3" spans="1:13" ht="14" x14ac:dyDescent="0.35">
      <c r="A3" s="74">
        <v>1001</v>
      </c>
      <c r="B3" s="76" t="e">
        <f>Saldobalance!#REF!</f>
        <v>#REF!</v>
      </c>
      <c r="C3">
        <v>4</v>
      </c>
    </row>
    <row r="4" spans="1:13" ht="14" x14ac:dyDescent="0.35">
      <c r="A4" s="76">
        <f>Saldobalance!A6</f>
        <v>1010</v>
      </c>
      <c r="B4" s="76" t="str">
        <f>Saldobalance!B6</f>
        <v>GEF ejerne</v>
      </c>
      <c r="C4">
        <v>1</v>
      </c>
      <c r="F4" t="s">
        <v>27</v>
      </c>
    </row>
    <row r="5" spans="1:13" ht="14" x14ac:dyDescent="0.35">
      <c r="A5" s="76">
        <f>Saldobalance!A7</f>
        <v>1020</v>
      </c>
      <c r="B5" s="76" t="str">
        <f>Saldobalance!B7</f>
        <v>GEF lejerne</v>
      </c>
      <c r="C5">
        <v>1</v>
      </c>
      <c r="F5" t="s">
        <v>27</v>
      </c>
    </row>
    <row r="6" spans="1:13" ht="14" x14ac:dyDescent="0.35">
      <c r="A6" s="76">
        <f>Saldobalance!A8</f>
        <v>1030</v>
      </c>
      <c r="B6" s="76" t="str">
        <f>Saldobalance!B8</f>
        <v xml:space="preserve">Rykkergebyr </v>
      </c>
      <c r="C6">
        <v>1</v>
      </c>
      <c r="F6" t="s">
        <v>27</v>
      </c>
    </row>
    <row r="7" spans="1:13" ht="14" x14ac:dyDescent="0.35">
      <c r="A7" s="76">
        <f>Saldobalance!A9</f>
        <v>1040</v>
      </c>
      <c r="B7" s="76" t="str">
        <f>Saldobalance!B9</f>
        <v>Andre indtægter</v>
      </c>
      <c r="C7">
        <v>1</v>
      </c>
      <c r="F7" t="s">
        <v>27</v>
      </c>
    </row>
    <row r="8" spans="1:13" ht="14" x14ac:dyDescent="0.35">
      <c r="A8" s="77">
        <v>1099</v>
      </c>
      <c r="B8" s="76" t="str">
        <f>Saldobalance!B10</f>
        <v>Fællesindtægter i alt</v>
      </c>
      <c r="C8">
        <v>6</v>
      </c>
      <c r="D8">
        <v>1000</v>
      </c>
    </row>
    <row r="9" spans="1:13" ht="14" x14ac:dyDescent="0.35">
      <c r="A9" s="74">
        <v>1300</v>
      </c>
      <c r="B9" s="75" t="s">
        <v>100</v>
      </c>
      <c r="C9">
        <v>4</v>
      </c>
      <c r="F9" t="s">
        <v>101</v>
      </c>
    </row>
    <row r="10" spans="1:13" ht="14" x14ac:dyDescent="0.35">
      <c r="A10" s="74">
        <v>1310</v>
      </c>
      <c r="B10" s="75" t="s">
        <v>102</v>
      </c>
      <c r="C10">
        <v>4</v>
      </c>
      <c r="F10" t="s">
        <v>101</v>
      </c>
    </row>
    <row r="11" spans="1:13" ht="14" x14ac:dyDescent="0.35">
      <c r="A11" s="76">
        <f>Saldobalance!A15</f>
        <v>1311</v>
      </c>
      <c r="B11" s="76" t="str">
        <f>Saldobalance!B15</f>
        <v>Rep maskiner og anlæg</v>
      </c>
      <c r="C11">
        <v>1</v>
      </c>
      <c r="F11" t="s">
        <v>101</v>
      </c>
    </row>
    <row r="12" spans="1:13" ht="14" x14ac:dyDescent="0.35">
      <c r="A12" s="76">
        <f>Saldobalance!A16</f>
        <v>1312</v>
      </c>
      <c r="B12" s="76" t="str">
        <f>Saldobalance!B16</f>
        <v>Rep og service Gasfyr</v>
      </c>
      <c r="C12">
        <v>1</v>
      </c>
      <c r="F12" t="s">
        <v>101</v>
      </c>
    </row>
    <row r="13" spans="1:13" ht="14" x14ac:dyDescent="0.35">
      <c r="A13" s="76">
        <f>Saldobalance!A17</f>
        <v>1313</v>
      </c>
      <c r="B13" s="76" t="str">
        <f>Saldobalance!B17</f>
        <v>Rep. vaskeriet</v>
      </c>
      <c r="C13">
        <v>1</v>
      </c>
      <c r="F13" t="s">
        <v>101</v>
      </c>
    </row>
    <row r="14" spans="1:13" ht="14" x14ac:dyDescent="0.35">
      <c r="A14" s="76">
        <f>Saldobalance!A18</f>
        <v>1314</v>
      </c>
      <c r="B14" s="76" t="str">
        <f>Saldobalance!B18</f>
        <v>Indv. vedl. FÆ-hus</v>
      </c>
      <c r="C14">
        <v>1</v>
      </c>
      <c r="F14" t="s">
        <v>101</v>
      </c>
    </row>
    <row r="15" spans="1:13" ht="14" x14ac:dyDescent="0.35">
      <c r="A15" s="76">
        <f>Saldobalance!A19</f>
        <v>1315</v>
      </c>
      <c r="B15" s="76" t="str">
        <f>Saldobalance!B19</f>
        <v>Udv. vedl. FÆ-hus</v>
      </c>
      <c r="C15">
        <v>1</v>
      </c>
      <c r="F15" t="s">
        <v>101</v>
      </c>
    </row>
    <row r="16" spans="1:13" ht="14" x14ac:dyDescent="0.35">
      <c r="A16" s="76">
        <f>Saldobalance!A20</f>
        <v>1316</v>
      </c>
      <c r="B16" s="76" t="str">
        <f>Saldobalance!B20</f>
        <v>Vedl. fællesarealer</v>
      </c>
      <c r="C16">
        <v>1</v>
      </c>
      <c r="F16" t="s">
        <v>101</v>
      </c>
    </row>
    <row r="17" spans="1:6" ht="14" x14ac:dyDescent="0.35">
      <c r="A17" s="76">
        <f>Saldobalance!A21</f>
        <v>1317</v>
      </c>
      <c r="B17" s="76" t="str">
        <f>Saldobalance!B21</f>
        <v>Snerydning</v>
      </c>
      <c r="C17">
        <v>1</v>
      </c>
    </row>
    <row r="18" spans="1:6" ht="14" x14ac:dyDescent="0.35">
      <c r="A18" s="76">
        <v>1319</v>
      </c>
      <c r="B18" s="76" t="s">
        <v>103</v>
      </c>
      <c r="C18">
        <v>3</v>
      </c>
      <c r="D18">
        <v>1310</v>
      </c>
      <c r="F18" t="s">
        <v>101</v>
      </c>
    </row>
    <row r="19" spans="1:6" ht="14" x14ac:dyDescent="0.35">
      <c r="A19" s="74">
        <v>1320</v>
      </c>
      <c r="B19" s="75" t="s">
        <v>104</v>
      </c>
      <c r="C19">
        <v>4</v>
      </c>
      <c r="F19" t="s">
        <v>101</v>
      </c>
    </row>
    <row r="20" spans="1:6" ht="14" x14ac:dyDescent="0.35">
      <c r="A20" s="76">
        <f>Saldobalance!A25</f>
        <v>1321</v>
      </c>
      <c r="B20" s="76" t="str">
        <f>Saldobalance!B25</f>
        <v>Inventar</v>
      </c>
      <c r="C20">
        <v>1</v>
      </c>
      <c r="F20" t="s">
        <v>101</v>
      </c>
    </row>
    <row r="21" spans="1:6" ht="14" x14ac:dyDescent="0.35">
      <c r="A21" s="76">
        <f>Saldobalance!A26</f>
        <v>1322</v>
      </c>
      <c r="B21" s="76" t="str">
        <f>Saldobalance!B26</f>
        <v>Køkkenudstyr</v>
      </c>
      <c r="C21">
        <v>1</v>
      </c>
      <c r="F21" t="s">
        <v>101</v>
      </c>
    </row>
    <row r="22" spans="1:6" ht="14" x14ac:dyDescent="0.35">
      <c r="A22" s="76">
        <f>Saldobalance!A27</f>
        <v>1323</v>
      </c>
      <c r="B22" s="76" t="str">
        <f>Saldobalance!B27</f>
        <v>EL-artik, pærer mv</v>
      </c>
      <c r="C22">
        <v>1</v>
      </c>
      <c r="F22" t="s">
        <v>101</v>
      </c>
    </row>
    <row r="23" spans="1:6" ht="14" x14ac:dyDescent="0.35">
      <c r="A23" s="76">
        <f>Saldobalance!A28</f>
        <v>1324</v>
      </c>
      <c r="B23" s="76" t="str">
        <f>Saldobalance!B28</f>
        <v>Rengøringsmidler/-artikler, papir</v>
      </c>
      <c r="C23">
        <v>1</v>
      </c>
      <c r="F23" t="s">
        <v>101</v>
      </c>
    </row>
    <row r="24" spans="1:6" ht="14" x14ac:dyDescent="0.35">
      <c r="A24" s="76">
        <f>Saldobalance!A29</f>
        <v>1325</v>
      </c>
      <c r="B24" s="76" t="str">
        <f>Saldobalance!B29</f>
        <v>Lys, blomster</v>
      </c>
      <c r="C24">
        <v>1</v>
      </c>
      <c r="F24" t="s">
        <v>101</v>
      </c>
    </row>
    <row r="25" spans="1:6" ht="14" x14ac:dyDescent="0.35">
      <c r="A25" s="76">
        <f>Saldobalance!A30</f>
        <v>1326</v>
      </c>
      <c r="B25" s="76" t="str">
        <f>Saldobalance!B30</f>
        <v>Krydderier</v>
      </c>
      <c r="C25">
        <v>1</v>
      </c>
      <c r="F25" t="s">
        <v>101</v>
      </c>
    </row>
    <row r="26" spans="1:6" ht="14" x14ac:dyDescent="0.35">
      <c r="A26" s="76">
        <f>Saldobalance!A31</f>
        <v>1327</v>
      </c>
      <c r="B26" s="76" t="str">
        <f>Saldobalance!B31</f>
        <v>Diverse Fælleshus</v>
      </c>
      <c r="C26">
        <v>1</v>
      </c>
      <c r="F26" t="s">
        <v>101</v>
      </c>
    </row>
    <row r="27" spans="1:6" ht="14" x14ac:dyDescent="0.35">
      <c r="A27" s="77">
        <v>1329</v>
      </c>
      <c r="B27" s="78" t="s">
        <v>105</v>
      </c>
      <c r="C27">
        <v>3</v>
      </c>
      <c r="D27">
        <v>1320</v>
      </c>
      <c r="F27" t="s">
        <v>101</v>
      </c>
    </row>
    <row r="28" spans="1:6" ht="14" x14ac:dyDescent="0.35">
      <c r="A28" s="74">
        <v>1330</v>
      </c>
      <c r="B28" s="75" t="s">
        <v>106</v>
      </c>
      <c r="C28">
        <v>4</v>
      </c>
      <c r="F28" t="s">
        <v>101</v>
      </c>
    </row>
    <row r="29" spans="1:6" ht="14" x14ac:dyDescent="0.35">
      <c r="A29" s="76">
        <f>Saldobalance!A35</f>
        <v>1331</v>
      </c>
      <c r="B29" s="76" t="str">
        <f>Saldobalance!B35</f>
        <v>Gaver</v>
      </c>
      <c r="C29">
        <v>1</v>
      </c>
      <c r="F29" t="s">
        <v>101</v>
      </c>
    </row>
    <row r="30" spans="1:6" ht="14" x14ac:dyDescent="0.35">
      <c r="A30" s="76">
        <f>Saldobalance!A36</f>
        <v>1332</v>
      </c>
      <c r="B30" s="76" t="str">
        <f>Saldobalance!B36</f>
        <v>Fester/kultur</v>
      </c>
      <c r="C30">
        <v>1</v>
      </c>
      <c r="F30" t="s">
        <v>101</v>
      </c>
    </row>
    <row r="31" spans="1:6" ht="14" x14ac:dyDescent="0.35">
      <c r="A31" s="76">
        <f>Saldobalance!A37</f>
        <v>1333</v>
      </c>
      <c r="B31" s="76" t="str">
        <f>Saldobalance!B37</f>
        <v>Fortæring arbejdsweekends</v>
      </c>
      <c r="C31">
        <v>1</v>
      </c>
      <c r="F31" t="s">
        <v>101</v>
      </c>
    </row>
    <row r="32" spans="1:6" ht="14" x14ac:dyDescent="0.35">
      <c r="A32" s="76">
        <f>Saldobalance!A38</f>
        <v>1334</v>
      </c>
      <c r="B32" s="76" t="str">
        <f>Saldobalance!B38</f>
        <v>Fortæring generalforsamling</v>
      </c>
      <c r="C32">
        <v>1</v>
      </c>
      <c r="F32" t="s">
        <v>101</v>
      </c>
    </row>
    <row r="33" spans="1:6" ht="14" x14ac:dyDescent="0.35">
      <c r="A33" s="76">
        <f>Saldobalance!A39</f>
        <v>1335</v>
      </c>
      <c r="B33" s="76" t="str">
        <f>Saldobalance!B39</f>
        <v>Adventsarrangementer</v>
      </c>
      <c r="C33">
        <v>1</v>
      </c>
      <c r="F33" t="s">
        <v>101</v>
      </c>
    </row>
    <row r="34" spans="1:6" ht="14" x14ac:dyDescent="0.35">
      <c r="A34" s="76">
        <f>Saldobalance!A40</f>
        <v>1336</v>
      </c>
      <c r="B34" s="76" t="str">
        <f>Saldobalance!B40</f>
        <v>Fastelavn</v>
      </c>
      <c r="C34">
        <v>1</v>
      </c>
      <c r="F34" t="s">
        <v>101</v>
      </c>
    </row>
    <row r="35" spans="1:6" ht="14" x14ac:dyDescent="0.35">
      <c r="A35" s="76">
        <f>Saldobalance!A41</f>
        <v>1337</v>
      </c>
      <c r="B35" s="76" t="str">
        <f>Saldobalance!B41</f>
        <v>Cafemøder</v>
      </c>
      <c r="C35">
        <v>1</v>
      </c>
      <c r="F35" t="s">
        <v>101</v>
      </c>
    </row>
    <row r="36" spans="1:6" ht="14" x14ac:dyDescent="0.35">
      <c r="A36" s="76">
        <f>Saldobalance!A42</f>
        <v>1338</v>
      </c>
      <c r="B36" s="76" t="str">
        <f>Saldobalance!B42</f>
        <v>Bakkeweekend</v>
      </c>
      <c r="C36">
        <v>1</v>
      </c>
      <c r="F36" t="s">
        <v>101</v>
      </c>
    </row>
    <row r="37" spans="1:6" ht="14" x14ac:dyDescent="0.35">
      <c r="A37" s="76">
        <f>Saldobalance!A43</f>
        <v>1339</v>
      </c>
      <c r="B37" s="76" t="str">
        <f>Saldobalance!B43</f>
        <v>Skt. Hans</v>
      </c>
      <c r="C37">
        <v>1</v>
      </c>
      <c r="F37" t="s">
        <v>101</v>
      </c>
    </row>
    <row r="38" spans="1:6" ht="14" x14ac:dyDescent="0.35">
      <c r="A38" s="76">
        <f>Saldobalance!A44</f>
        <v>1340</v>
      </c>
      <c r="B38" s="76" t="str">
        <f>Saldobalance!B44</f>
        <v>Kultur - udgået</v>
      </c>
      <c r="C38">
        <v>1</v>
      </c>
      <c r="F38" t="s">
        <v>101</v>
      </c>
    </row>
    <row r="39" spans="1:6" ht="14" x14ac:dyDescent="0.35">
      <c r="A39" s="77">
        <v>1349</v>
      </c>
      <c r="B39" s="78" t="s">
        <v>187</v>
      </c>
      <c r="C39">
        <v>3</v>
      </c>
      <c r="D39">
        <v>1330</v>
      </c>
      <c r="F39" t="s">
        <v>101</v>
      </c>
    </row>
    <row r="40" spans="1:6" ht="14" x14ac:dyDescent="0.35">
      <c r="A40" s="74">
        <v>1350</v>
      </c>
      <c r="B40" s="75" t="s">
        <v>107</v>
      </c>
      <c r="C40">
        <v>4</v>
      </c>
      <c r="F40" t="s">
        <v>101</v>
      </c>
    </row>
    <row r="41" spans="1:6" ht="14" x14ac:dyDescent="0.35">
      <c r="A41" s="76">
        <f>Saldobalance!A48</f>
        <v>1351</v>
      </c>
      <c r="B41" s="76" t="str">
        <f>Saldobalance!B48</f>
        <v>Telefon / bredbånd</v>
      </c>
      <c r="C41">
        <v>1</v>
      </c>
      <c r="F41" t="s">
        <v>101</v>
      </c>
    </row>
    <row r="42" spans="1:6" ht="14" x14ac:dyDescent="0.35">
      <c r="A42" s="76">
        <f>Saldobalance!A49</f>
        <v>1352</v>
      </c>
      <c r="B42" s="76" t="str">
        <f>Saldobalance!B49</f>
        <v>TV + licens</v>
      </c>
      <c r="C42">
        <v>1</v>
      </c>
      <c r="F42" t="s">
        <v>101</v>
      </c>
    </row>
    <row r="43" spans="1:6" ht="14" x14ac:dyDescent="0.35">
      <c r="A43" s="76">
        <f>Saldobalance!A50</f>
        <v>1353</v>
      </c>
      <c r="B43" s="76" t="str">
        <f>Saldobalance!B50</f>
        <v>Hjemmeside/e-mail</v>
      </c>
      <c r="C43">
        <v>1</v>
      </c>
      <c r="F43" t="s">
        <v>101</v>
      </c>
    </row>
    <row r="44" spans="1:6" ht="14" x14ac:dyDescent="0.35">
      <c r="A44" s="76">
        <f>Saldobalance!A51</f>
        <v>1355</v>
      </c>
      <c r="B44" s="76" t="str">
        <f>Saldobalance!B51</f>
        <v>Tidsskrifter</v>
      </c>
      <c r="C44">
        <v>1</v>
      </c>
    </row>
    <row r="45" spans="1:6" ht="14" x14ac:dyDescent="0.35">
      <c r="A45" s="76">
        <v>1359</v>
      </c>
      <c r="B45" s="78" t="s">
        <v>108</v>
      </c>
      <c r="C45">
        <v>3</v>
      </c>
      <c r="D45">
        <v>1350</v>
      </c>
      <c r="F45" t="s">
        <v>101</v>
      </c>
    </row>
    <row r="46" spans="1:6" ht="14" x14ac:dyDescent="0.35">
      <c r="A46" s="74">
        <v>1360</v>
      </c>
      <c r="B46" s="75" t="s">
        <v>289</v>
      </c>
      <c r="C46">
        <v>4</v>
      </c>
      <c r="F46" t="s">
        <v>101</v>
      </c>
    </row>
    <row r="47" spans="1:6" ht="14" x14ac:dyDescent="0.35">
      <c r="A47" s="76">
        <f>Saldobalance!A55</f>
        <v>1361</v>
      </c>
      <c r="B47" s="76" t="str">
        <f>Saldobalance!B55</f>
        <v>Asfalt</v>
      </c>
      <c r="C47">
        <v>1</v>
      </c>
      <c r="F47" t="s">
        <v>101</v>
      </c>
    </row>
    <row r="48" spans="1:6" ht="14" x14ac:dyDescent="0.35">
      <c r="A48" s="76">
        <f>Saldobalance!A56</f>
        <v>1362</v>
      </c>
      <c r="B48" s="76" t="str">
        <f>Saldobalance!B56</f>
        <v>Salg af Gården</v>
      </c>
      <c r="C48">
        <v>1</v>
      </c>
      <c r="F48" t="s">
        <v>101</v>
      </c>
    </row>
    <row r="49" spans="1:6" ht="14" x14ac:dyDescent="0.35">
      <c r="A49" s="76">
        <f>Saldobalance!A57</f>
        <v>1363</v>
      </c>
      <c r="B49" s="76" t="str">
        <f>Saldobalance!B57</f>
        <v>Kolbøtten</v>
      </c>
      <c r="C49">
        <v>1</v>
      </c>
      <c r="F49" s="107" t="s">
        <v>101</v>
      </c>
    </row>
    <row r="50" spans="1:6" ht="14" x14ac:dyDescent="0.35">
      <c r="A50" s="76">
        <f>Saldobalance!A58</f>
        <v>1364</v>
      </c>
      <c r="B50" s="76" t="str">
        <f>Saldobalance!B58</f>
        <v>Fælleshustorvet</v>
      </c>
      <c r="C50">
        <v>1</v>
      </c>
      <c r="F50" s="107" t="s">
        <v>101</v>
      </c>
    </row>
    <row r="51" spans="1:6" ht="14" x14ac:dyDescent="0.35">
      <c r="A51" s="76">
        <f>Saldobalance!A59</f>
        <v>1365</v>
      </c>
      <c r="B51" s="76" t="str">
        <f>Saldobalance!B59</f>
        <v>Svællemuren</v>
      </c>
      <c r="C51">
        <v>1</v>
      </c>
      <c r="F51" s="107" t="s">
        <v>101</v>
      </c>
    </row>
    <row r="52" spans="1:6" ht="14" x14ac:dyDescent="0.35">
      <c r="A52" s="76">
        <f>Saldobalance!A60</f>
        <v>1366</v>
      </c>
      <c r="B52" s="76" t="str">
        <f>Saldobalance!B60</f>
        <v>Fælleshusfornyelsen</v>
      </c>
      <c r="C52">
        <v>1</v>
      </c>
      <c r="F52" s="107" t="s">
        <v>101</v>
      </c>
    </row>
    <row r="53" spans="1:6" ht="14" x14ac:dyDescent="0.35">
      <c r="A53" s="76">
        <f>Saldobalance!A61</f>
        <v>1367</v>
      </c>
      <c r="B53" s="76" t="str">
        <f>Saldobalance!B61</f>
        <v>Energnisterne</v>
      </c>
      <c r="C53">
        <v>1</v>
      </c>
      <c r="F53" s="107" t="s">
        <v>101</v>
      </c>
    </row>
    <row r="54" spans="1:6" ht="14" x14ac:dyDescent="0.35">
      <c r="A54" s="76">
        <f>Saldobalance!A62</f>
        <v>1368</v>
      </c>
      <c r="B54" s="76" t="str">
        <f>Saldobalance!B62</f>
        <v>Projekt 8 - ikke brugt</v>
      </c>
      <c r="C54">
        <v>1</v>
      </c>
      <c r="F54" s="107" t="s">
        <v>101</v>
      </c>
    </row>
    <row r="55" spans="1:6" ht="14" x14ac:dyDescent="0.35">
      <c r="A55" s="76">
        <f>Saldobalance!A63</f>
        <v>1369</v>
      </c>
      <c r="B55" s="76" t="str">
        <f>Saldobalance!B63</f>
        <v>Projekt 9 - ikke brugt</v>
      </c>
      <c r="C55">
        <v>1</v>
      </c>
      <c r="F55" s="107" t="s">
        <v>101</v>
      </c>
    </row>
    <row r="56" spans="1:6" ht="14" x14ac:dyDescent="0.35">
      <c r="A56" s="76">
        <f>Saldobalance!A64</f>
        <v>1370</v>
      </c>
      <c r="B56" s="76" t="str">
        <f>Saldobalance!B64</f>
        <v>Planlagt Vedligehold</v>
      </c>
      <c r="C56">
        <v>1</v>
      </c>
      <c r="F56" s="107" t="s">
        <v>101</v>
      </c>
    </row>
    <row r="57" spans="1:6" ht="14" x14ac:dyDescent="0.35">
      <c r="A57" s="76">
        <f>Saldobalance!A65</f>
        <v>1371</v>
      </c>
      <c r="B57" s="76" t="str">
        <f>Saldobalance!B65</f>
        <v>Planlagte Nyanskaffelser</v>
      </c>
      <c r="C57">
        <v>1</v>
      </c>
      <c r="F57" s="107" t="s">
        <v>101</v>
      </c>
    </row>
    <row r="58" spans="1:6" ht="14" x14ac:dyDescent="0.35">
      <c r="A58" s="76">
        <f>Saldobalance!A66</f>
        <v>1372</v>
      </c>
      <c r="B58" s="76" t="str">
        <f>Saldobalance!B66</f>
        <v>Ikke-planlagte projekter</v>
      </c>
      <c r="C58">
        <v>1</v>
      </c>
      <c r="F58" s="107" t="s">
        <v>101</v>
      </c>
    </row>
    <row r="59" spans="1:6" ht="14" x14ac:dyDescent="0.35">
      <c r="A59" s="76">
        <f>Saldobalance!A67</f>
        <v>1373</v>
      </c>
      <c r="B59" s="76" t="str">
        <f>Saldobalance!B67</f>
        <v>Overført fra opsparingen</v>
      </c>
      <c r="C59">
        <v>1</v>
      </c>
      <c r="F59" s="107" t="s">
        <v>27</v>
      </c>
    </row>
    <row r="60" spans="1:6" ht="14" x14ac:dyDescent="0.35">
      <c r="A60" s="76">
        <v>1374</v>
      </c>
      <c r="B60" s="78" t="s">
        <v>295</v>
      </c>
      <c r="C60">
        <v>3</v>
      </c>
      <c r="D60">
        <v>1360</v>
      </c>
      <c r="F60" t="s">
        <v>101</v>
      </c>
    </row>
    <row r="61" spans="1:6" s="144" customFormat="1" ht="14" x14ac:dyDescent="0.35">
      <c r="A61" s="76">
        <f>Saldobalance!A69</f>
        <v>1375</v>
      </c>
      <c r="B61" s="76" t="str">
        <f>Saldobalance!B69</f>
        <v>Genanskaffelser</v>
      </c>
      <c r="C61" s="144">
        <v>1</v>
      </c>
      <c r="F61" s="144" t="s">
        <v>101</v>
      </c>
    </row>
    <row r="62" spans="1:6" ht="14" x14ac:dyDescent="0.35">
      <c r="A62" s="76">
        <f>Saldobalance!A70</f>
        <v>1376</v>
      </c>
      <c r="B62" s="76" t="str">
        <f>Saldobalance!B70</f>
        <v>Nyanskaffelser</v>
      </c>
      <c r="C62">
        <v>1</v>
      </c>
      <c r="F62" t="s">
        <v>101</v>
      </c>
    </row>
    <row r="63" spans="1:6" ht="14" x14ac:dyDescent="0.35">
      <c r="A63" s="76">
        <f>Saldobalance!A71</f>
        <v>1378</v>
      </c>
      <c r="B63" s="76" t="str">
        <f>Saldobalance!B71</f>
        <v>Markedsføring</v>
      </c>
      <c r="C63">
        <v>1</v>
      </c>
      <c r="F63" t="s">
        <v>101</v>
      </c>
    </row>
    <row r="64" spans="1:6" ht="14" x14ac:dyDescent="0.35">
      <c r="A64" s="74">
        <v>1380</v>
      </c>
      <c r="B64" s="75" t="s">
        <v>224</v>
      </c>
      <c r="C64">
        <v>4</v>
      </c>
    </row>
    <row r="65" spans="1:6" ht="14" x14ac:dyDescent="0.35">
      <c r="A65" s="74">
        <v>1381</v>
      </c>
      <c r="B65" s="75" t="s">
        <v>342</v>
      </c>
      <c r="C65">
        <v>1</v>
      </c>
      <c r="F65" s="107" t="s">
        <v>27</v>
      </c>
    </row>
    <row r="66" spans="1:6" ht="14" x14ac:dyDescent="0.35">
      <c r="A66" s="76">
        <f>Saldobalance!A75</f>
        <v>1382</v>
      </c>
      <c r="B66" s="76" t="str">
        <f>Saldobalance!B75</f>
        <v>Salg af fåreprodukter (Brutto)</v>
      </c>
      <c r="C66">
        <v>1</v>
      </c>
      <c r="F66" t="s">
        <v>27</v>
      </c>
    </row>
    <row r="67" spans="1:6" ht="14" x14ac:dyDescent="0.35">
      <c r="A67" s="76">
        <f>Saldobalance!A76</f>
        <v>1383</v>
      </c>
      <c r="B67" s="76" t="str">
        <f>Saldobalance!B76</f>
        <v>Rabat på fåreprodukter</v>
      </c>
      <c r="C67">
        <v>1</v>
      </c>
      <c r="F67" s="107" t="s">
        <v>101</v>
      </c>
    </row>
    <row r="68" spans="1:6" ht="14" x14ac:dyDescent="0.35">
      <c r="A68" s="76">
        <f>Saldobalance!A77</f>
        <v>1384</v>
      </c>
      <c r="B68" s="76" t="str">
        <f>Saldobalance!B77</f>
        <v>Løbende udgifter/får</v>
      </c>
      <c r="C68">
        <v>1</v>
      </c>
      <c r="F68" s="107" t="s">
        <v>101</v>
      </c>
    </row>
    <row r="69" spans="1:6" ht="14" x14ac:dyDescent="0.35">
      <c r="A69" s="76">
        <f>Saldobalance!A78</f>
        <v>1392</v>
      </c>
      <c r="B69" s="76" t="str">
        <f>Saldobalance!B78</f>
        <v>Engangsudgifter/får</v>
      </c>
      <c r="C69">
        <v>1</v>
      </c>
    </row>
    <row r="70" spans="1:6" ht="14" x14ac:dyDescent="0.35">
      <c r="A70" s="76">
        <f>Saldobalance!A79</f>
        <v>1397</v>
      </c>
      <c r="B70" s="76" t="str">
        <f>Saldobalance!B79</f>
        <v>Årets udvikling/får</v>
      </c>
      <c r="C70">
        <v>1</v>
      </c>
    </row>
    <row r="71" spans="1:6" ht="14" x14ac:dyDescent="0.35">
      <c r="A71" s="77">
        <v>1399</v>
      </c>
      <c r="B71" s="78" t="s">
        <v>228</v>
      </c>
      <c r="C71">
        <v>3</v>
      </c>
      <c r="D71">
        <v>1380</v>
      </c>
    </row>
    <row r="72" spans="1:6" ht="14" x14ac:dyDescent="0.35">
      <c r="A72" s="74">
        <v>1400</v>
      </c>
      <c r="B72" s="75" t="s">
        <v>128</v>
      </c>
      <c r="C72">
        <v>4</v>
      </c>
    </row>
    <row r="73" spans="1:6" ht="14" x14ac:dyDescent="0.35">
      <c r="A73" s="76">
        <f>Saldobalance!A83</f>
        <v>1410</v>
      </c>
      <c r="B73" s="76" t="str">
        <f>Saldobalance!B83</f>
        <v>Huslejeopkrævet</v>
      </c>
      <c r="C73">
        <v>1</v>
      </c>
      <c r="F73" t="s">
        <v>27</v>
      </c>
    </row>
    <row r="74" spans="1:6" ht="14" x14ac:dyDescent="0.35">
      <c r="A74" s="76">
        <f>Saldobalance!A84</f>
        <v>1420</v>
      </c>
      <c r="B74" s="76" t="str">
        <f>Saldobalance!B84</f>
        <v>Ikke længere i brug</v>
      </c>
      <c r="C74">
        <v>1</v>
      </c>
      <c r="F74" t="s">
        <v>27</v>
      </c>
    </row>
    <row r="75" spans="1:6" ht="14" x14ac:dyDescent="0.35">
      <c r="A75" s="76">
        <f>Saldobalance!A85</f>
        <v>1425</v>
      </c>
      <c r="B75" s="76" t="str">
        <f>Saldobalance!B85</f>
        <v>EL opkrævet</v>
      </c>
      <c r="C75">
        <v>1</v>
      </c>
      <c r="F75" t="s">
        <v>85</v>
      </c>
    </row>
    <row r="76" spans="1:6" ht="14" x14ac:dyDescent="0.35">
      <c r="A76" s="76">
        <f>Saldobalance!A86</f>
        <v>1427</v>
      </c>
      <c r="B76" s="76" t="str">
        <f>Saldobalance!B86</f>
        <v xml:space="preserve">DONG - EL </v>
      </c>
      <c r="C76">
        <v>1</v>
      </c>
    </row>
    <row r="77" spans="1:6" ht="14" x14ac:dyDescent="0.35">
      <c r="A77" s="76">
        <f>Saldobalance!A87</f>
        <v>1430</v>
      </c>
      <c r="B77" s="76" t="str">
        <f>Saldobalance!B87</f>
        <v>GEF</v>
      </c>
      <c r="C77">
        <v>1</v>
      </c>
    </row>
    <row r="78" spans="1:6" ht="14" x14ac:dyDescent="0.35">
      <c r="A78" s="76">
        <f>Saldobalance!A88</f>
        <v>1440</v>
      </c>
      <c r="B78" s="76" t="str">
        <f>Saldobalance!B88</f>
        <v>Renovation</v>
      </c>
      <c r="C78">
        <v>1</v>
      </c>
    </row>
    <row r="79" spans="1:6" ht="14" x14ac:dyDescent="0.35">
      <c r="A79" s="76">
        <f>Saldobalance!A89</f>
        <v>1450</v>
      </c>
      <c r="B79" s="76" t="str">
        <f>Saldobalance!B89</f>
        <v>Ejendomsskat</v>
      </c>
      <c r="C79">
        <v>1</v>
      </c>
    </row>
    <row r="80" spans="1:6" ht="14" x14ac:dyDescent="0.35">
      <c r="A80" s="76">
        <f>Saldobalance!A90</f>
        <v>1460</v>
      </c>
      <c r="B80" s="76" t="str">
        <f>Saldobalance!B90</f>
        <v>Forsikringer - 4.318.305.792</v>
      </c>
      <c r="C80">
        <v>1</v>
      </c>
    </row>
    <row r="81" spans="1:4" ht="14" x14ac:dyDescent="0.35">
      <c r="A81" s="76">
        <f>Saldobalance!A91</f>
        <v>1470</v>
      </c>
      <c r="B81" s="76" t="str">
        <f>Saldobalance!B91</f>
        <v>Udv. Vedligehold Gården</v>
      </c>
      <c r="C81">
        <v>1</v>
      </c>
    </row>
    <row r="82" spans="1:4" ht="14" x14ac:dyDescent="0.35">
      <c r="A82" s="76">
        <f>Saldobalance!A92</f>
        <v>1480</v>
      </c>
      <c r="B82" s="76" t="str">
        <f>Saldobalance!B92</f>
        <v>Indv. Vedligehold Gården</v>
      </c>
      <c r="C82">
        <v>1</v>
      </c>
    </row>
    <row r="83" spans="1:4" ht="14" x14ac:dyDescent="0.35">
      <c r="A83" s="77">
        <v>1499</v>
      </c>
      <c r="B83" s="78" t="s">
        <v>129</v>
      </c>
      <c r="C83">
        <v>3</v>
      </c>
      <c r="D83">
        <v>1400</v>
      </c>
    </row>
    <row r="84" spans="1:4" ht="14" x14ac:dyDescent="0.35">
      <c r="A84" s="74">
        <v>1996</v>
      </c>
      <c r="B84" s="75"/>
      <c r="C84">
        <v>4</v>
      </c>
    </row>
    <row r="85" spans="1:4" ht="14" x14ac:dyDescent="0.35">
      <c r="A85" s="76">
        <f>Saldobalance!A96</f>
        <v>1997</v>
      </c>
      <c r="B85" s="76" t="str">
        <f>Saldobalance!B96</f>
        <v>Diverse variable udgifter</v>
      </c>
      <c r="C85">
        <v>1</v>
      </c>
    </row>
    <row r="86" spans="1:4" ht="14" x14ac:dyDescent="0.35">
      <c r="A86" s="77">
        <v>1998</v>
      </c>
      <c r="B86" s="78" t="s">
        <v>109</v>
      </c>
      <c r="C86">
        <v>3</v>
      </c>
      <c r="D86">
        <v>1300</v>
      </c>
    </row>
    <row r="87" spans="1:4" ht="14" x14ac:dyDescent="0.35">
      <c r="A87" s="77">
        <v>1999</v>
      </c>
      <c r="B87" s="78" t="s">
        <v>110</v>
      </c>
      <c r="C87">
        <v>3</v>
      </c>
      <c r="D87">
        <v>1000</v>
      </c>
    </row>
    <row r="88" spans="1:4" ht="14" x14ac:dyDescent="0.35">
      <c r="A88" s="74">
        <v>2200</v>
      </c>
      <c r="B88" s="75" t="s">
        <v>111</v>
      </c>
      <c r="C88">
        <v>4</v>
      </c>
    </row>
    <row r="89" spans="1:4" ht="14" x14ac:dyDescent="0.35">
      <c r="A89" s="76">
        <f>Saldobalance!A101</f>
        <v>2210</v>
      </c>
      <c r="B89" s="76" t="str">
        <f>Saldobalance!B101</f>
        <v>Ejendomsskat</v>
      </c>
      <c r="C89">
        <v>1</v>
      </c>
    </row>
    <row r="90" spans="1:4" ht="14" x14ac:dyDescent="0.35">
      <c r="A90" s="76">
        <f>Saldobalance!A102</f>
        <v>2220</v>
      </c>
      <c r="B90" s="76" t="str">
        <f>Saldobalance!B102</f>
        <v>Forsikringer</v>
      </c>
      <c r="C90">
        <v>1</v>
      </c>
    </row>
    <row r="91" spans="1:4" ht="14" x14ac:dyDescent="0.35">
      <c r="A91" s="74">
        <v>2230</v>
      </c>
      <c r="B91" s="75" t="s">
        <v>250</v>
      </c>
      <c r="C91">
        <v>4</v>
      </c>
    </row>
    <row r="92" spans="1:4" ht="14" x14ac:dyDescent="0.35">
      <c r="A92" s="76">
        <f>Saldobalance!A105</f>
        <v>2231</v>
      </c>
      <c r="B92" s="76" t="str">
        <f>Saldobalance!B105</f>
        <v>7AV - Stuehuset + Østlængen</v>
      </c>
      <c r="C92">
        <v>1</v>
      </c>
    </row>
    <row r="93" spans="1:4" ht="14" x14ac:dyDescent="0.35">
      <c r="A93" s="76">
        <f>Saldobalance!A106</f>
        <v>2232</v>
      </c>
      <c r="B93" s="76" t="str">
        <f>Saldobalance!B106</f>
        <v>Komfur &amp; Ovn, ????</v>
      </c>
      <c r="C93">
        <v>1</v>
      </c>
    </row>
    <row r="94" spans="1:4" ht="14" x14ac:dyDescent="0.35">
      <c r="A94" s="76">
        <f>Saldobalance!A107</f>
        <v>2233</v>
      </c>
      <c r="B94" s="76" t="str">
        <f>Saldobalance!B107</f>
        <v>Fyrudskiftning, 1999</v>
      </c>
      <c r="C94">
        <v>1</v>
      </c>
    </row>
    <row r="95" spans="1:4" ht="14" x14ac:dyDescent="0.35">
      <c r="A95" s="76">
        <f>Saldobalance!A108</f>
        <v>2234</v>
      </c>
      <c r="B95" s="76" t="str">
        <f>Saldobalance!B108</f>
        <v>Tørretumbler, 1999</v>
      </c>
      <c r="C95">
        <v>1</v>
      </c>
    </row>
    <row r="96" spans="1:4" ht="14" x14ac:dyDescent="0.35">
      <c r="A96" s="76">
        <f>Saldobalance!A109</f>
        <v>2235</v>
      </c>
      <c r="B96" s="76" t="str">
        <f>Saldobalance!B109</f>
        <v>Vaskemaskiner, 2011</v>
      </c>
      <c r="C96">
        <v>1</v>
      </c>
    </row>
    <row r="97" spans="1:4" ht="14" x14ac:dyDescent="0.35">
      <c r="A97" s="77">
        <v>2239</v>
      </c>
      <c r="B97" s="78" t="s">
        <v>112</v>
      </c>
      <c r="C97">
        <v>3</v>
      </c>
      <c r="D97">
        <v>2230</v>
      </c>
    </row>
    <row r="98" spans="1:4" ht="14" x14ac:dyDescent="0.35">
      <c r="A98" s="74">
        <v>2250</v>
      </c>
      <c r="B98" s="75" t="s">
        <v>8</v>
      </c>
      <c r="C98">
        <v>4</v>
      </c>
    </row>
    <row r="99" spans="1:4" ht="14" x14ac:dyDescent="0.35">
      <c r="A99" s="76">
        <f>Saldobalance!A113</f>
        <v>2251</v>
      </c>
      <c r="B99" s="76" t="str">
        <f>Saldobalance!B113</f>
        <v>Nordea renteudgift</v>
      </c>
      <c r="C99">
        <v>1</v>
      </c>
    </row>
    <row r="100" spans="1:4" s="141" customFormat="1" ht="14" x14ac:dyDescent="0.35">
      <c r="A100" s="76">
        <f>Saldobalance!A114</f>
        <v>2252</v>
      </c>
      <c r="B100" s="76" t="str">
        <f>Saldobalance!B114</f>
        <v>Nordea renteindtægt</v>
      </c>
      <c r="C100" s="141">
        <v>1</v>
      </c>
    </row>
    <row r="101" spans="1:4" ht="14" x14ac:dyDescent="0.35">
      <c r="A101" s="76">
        <f>Saldobalance!A115</f>
        <v>2255</v>
      </c>
      <c r="B101" s="76" t="str">
        <f>Saldobalance!B115</f>
        <v>Gevinst på valutakursdiff, debitorer</v>
      </c>
      <c r="C101">
        <v>1</v>
      </c>
    </row>
    <row r="102" spans="1:4" ht="14" x14ac:dyDescent="0.35">
      <c r="A102" s="76">
        <f>Saldobalance!A116</f>
        <v>2256</v>
      </c>
      <c r="B102" s="76" t="str">
        <f>Saldobalance!B116</f>
        <v>Gevinst på valutakursdiff, kreditorer</v>
      </c>
      <c r="C102">
        <v>1</v>
      </c>
    </row>
    <row r="103" spans="1:4" ht="14" x14ac:dyDescent="0.35">
      <c r="A103" s="76">
        <f>Saldobalance!A117</f>
        <v>2258</v>
      </c>
      <c r="B103" s="76" t="str">
        <f>Saldobalance!B117</f>
        <v>Andre renter og gebyrer</v>
      </c>
      <c r="C103">
        <v>1</v>
      </c>
    </row>
    <row r="104" spans="1:4" ht="14" x14ac:dyDescent="0.35">
      <c r="A104" s="77">
        <v>2259</v>
      </c>
      <c r="B104" s="78" t="s">
        <v>113</v>
      </c>
      <c r="C104">
        <v>3</v>
      </c>
      <c r="D104">
        <v>2250</v>
      </c>
    </row>
    <row r="105" spans="1:4" ht="14" x14ac:dyDescent="0.35">
      <c r="A105" s="74">
        <v>2260</v>
      </c>
      <c r="B105" s="75" t="s">
        <v>212</v>
      </c>
      <c r="C105">
        <v>4</v>
      </c>
    </row>
    <row r="106" spans="1:4" ht="14" x14ac:dyDescent="0.35">
      <c r="A106" s="76">
        <f>Saldobalance!A121</f>
        <v>2261</v>
      </c>
      <c r="B106" s="76" t="str">
        <f>Saldobalance!B121</f>
        <v>Renovation</v>
      </c>
      <c r="C106">
        <v>1</v>
      </c>
    </row>
    <row r="107" spans="1:4" ht="14" x14ac:dyDescent="0.35">
      <c r="A107" s="76">
        <f>Saldobalance!A122</f>
        <v>2262</v>
      </c>
      <c r="B107" s="76" t="str">
        <f>Saldobalance!B122</f>
        <v>EL</v>
      </c>
      <c r="C107">
        <v>1</v>
      </c>
    </row>
    <row r="108" spans="1:4" ht="14" x14ac:dyDescent="0.35">
      <c r="A108" s="76">
        <f>Saldobalance!A123</f>
        <v>2263</v>
      </c>
      <c r="B108" s="76" t="str">
        <f>Saldobalance!B123</f>
        <v>Varme / gas</v>
      </c>
      <c r="C108">
        <v>1</v>
      </c>
    </row>
    <row r="109" spans="1:4" ht="14" x14ac:dyDescent="0.35">
      <c r="A109" s="76">
        <f>Saldobalance!A124</f>
        <v>2264</v>
      </c>
      <c r="B109" s="76" t="str">
        <f>Saldobalance!B124</f>
        <v>Vand</v>
      </c>
      <c r="C109">
        <v>1</v>
      </c>
    </row>
    <row r="110" spans="1:4" ht="14" x14ac:dyDescent="0.35">
      <c r="A110" s="76">
        <f>Saldobalance!A125</f>
        <v>2265</v>
      </c>
      <c r="B110" s="76" t="str">
        <f>Saldobalance!B125</f>
        <v>Vask</v>
      </c>
      <c r="C110">
        <v>1</v>
      </c>
    </row>
    <row r="111" spans="1:4" ht="14" x14ac:dyDescent="0.35">
      <c r="A111" s="77">
        <v>2269</v>
      </c>
      <c r="B111" s="78" t="s">
        <v>213</v>
      </c>
      <c r="C111">
        <v>3</v>
      </c>
      <c r="D111">
        <v>2260</v>
      </c>
    </row>
    <row r="112" spans="1:4" ht="14" x14ac:dyDescent="0.35">
      <c r="A112" s="74">
        <v>2270</v>
      </c>
      <c r="B112" s="75" t="s">
        <v>10</v>
      </c>
      <c r="C112">
        <v>4</v>
      </c>
    </row>
    <row r="113" spans="1:4" ht="14" x14ac:dyDescent="0.35">
      <c r="A113" s="76">
        <f>Saldobalance!A129</f>
        <v>2271</v>
      </c>
      <c r="B113" s="76" t="str">
        <f>Saldobalance!B129</f>
        <v>Drift af bestyrelsen</v>
      </c>
      <c r="C113">
        <v>1</v>
      </c>
    </row>
    <row r="114" spans="1:4" ht="14" x14ac:dyDescent="0.35">
      <c r="A114" s="76">
        <f>Saldobalance!A130</f>
        <v>2272</v>
      </c>
      <c r="B114" s="76" t="str">
        <f>Saldobalance!B130</f>
        <v>Kontorartikler og Porto</v>
      </c>
      <c r="C114">
        <v>1</v>
      </c>
    </row>
    <row r="115" spans="1:4" ht="14" x14ac:dyDescent="0.35">
      <c r="A115" s="76">
        <f>Saldobalance!A131</f>
        <v>2273</v>
      </c>
      <c r="B115" s="76" t="str">
        <f>Saldobalance!B131</f>
        <v>Økonomisystem</v>
      </c>
      <c r="C115">
        <v>1</v>
      </c>
    </row>
    <row r="116" spans="1:4" ht="14" x14ac:dyDescent="0.35">
      <c r="A116" s="77">
        <v>2279</v>
      </c>
      <c r="B116" s="78" t="s">
        <v>114</v>
      </c>
      <c r="C116">
        <v>3</v>
      </c>
      <c r="D116">
        <v>2270</v>
      </c>
    </row>
    <row r="117" spans="1:4" ht="14" x14ac:dyDescent="0.35">
      <c r="A117" s="74">
        <v>2280</v>
      </c>
      <c r="B117" s="75" t="s">
        <v>9</v>
      </c>
      <c r="C117">
        <v>4</v>
      </c>
    </row>
    <row r="118" spans="1:4" ht="14" x14ac:dyDescent="0.35">
      <c r="A118" s="76">
        <f>Saldobalance!A135</f>
        <v>2282</v>
      </c>
      <c r="B118" s="76" t="str">
        <f>Saldobalance!B135</f>
        <v>GEF-regnskab</v>
      </c>
      <c r="C118">
        <v>1</v>
      </c>
    </row>
    <row r="119" spans="1:4" ht="14" x14ac:dyDescent="0.35">
      <c r="A119" s="76">
        <f>Saldobalance!A136</f>
        <v>2284</v>
      </c>
      <c r="B119" s="76" t="str">
        <f>Saldobalance!B136</f>
        <v>IS-regnskab</v>
      </c>
      <c r="C119">
        <v>1</v>
      </c>
    </row>
    <row r="120" spans="1:4" ht="14" x14ac:dyDescent="0.35">
      <c r="A120" s="77">
        <v>2289</v>
      </c>
      <c r="B120" s="78" t="s">
        <v>115</v>
      </c>
      <c r="C120">
        <v>3</v>
      </c>
      <c r="D120">
        <v>2280</v>
      </c>
    </row>
    <row r="121" spans="1:4" ht="14" x14ac:dyDescent="0.35">
      <c r="A121" s="74">
        <v>2290</v>
      </c>
      <c r="B121" s="75" t="s">
        <v>11</v>
      </c>
      <c r="C121">
        <v>4</v>
      </c>
    </row>
    <row r="122" spans="1:4" ht="14" x14ac:dyDescent="0.35">
      <c r="A122" s="76">
        <f>Saldobalance!A140</f>
        <v>2292</v>
      </c>
      <c r="B122" s="76" t="str">
        <f>Saldobalance!B140</f>
        <v>Tab på Bofæller</v>
      </c>
      <c r="C122">
        <v>1</v>
      </c>
    </row>
    <row r="123" spans="1:4" ht="14" x14ac:dyDescent="0.35">
      <c r="A123" s="76">
        <f>Saldobalance!A141</f>
        <v>2293</v>
      </c>
      <c r="B123" s="76" t="str">
        <f>Saldobalance!B141</f>
        <v>Øredifferencer</v>
      </c>
      <c r="C123">
        <v>1</v>
      </c>
    </row>
    <row r="124" spans="1:4" ht="14" x14ac:dyDescent="0.35">
      <c r="A124" s="76">
        <f>Saldobalance!A142</f>
        <v>2294</v>
      </c>
      <c r="B124" s="76" t="str">
        <f>Saldobalance!B142</f>
        <v>Afrundingsfejl på Sol-projekt</v>
      </c>
      <c r="C124">
        <v>1</v>
      </c>
    </row>
    <row r="125" spans="1:4" ht="14" x14ac:dyDescent="0.35">
      <c r="A125" s="76">
        <f>Saldobalance!A143</f>
        <v>2295</v>
      </c>
      <c r="B125" s="76" t="str">
        <f>Saldobalance!B143</f>
        <v>Diverse omkostninger</v>
      </c>
      <c r="C125">
        <v>1</v>
      </c>
    </row>
    <row r="126" spans="1:4" ht="14" x14ac:dyDescent="0.35">
      <c r="A126" s="77">
        <v>2296</v>
      </c>
      <c r="B126" s="78" t="s">
        <v>116</v>
      </c>
      <c r="C126">
        <v>3</v>
      </c>
      <c r="D126">
        <v>2290</v>
      </c>
    </row>
    <row r="127" spans="1:4" ht="14" x14ac:dyDescent="0.35">
      <c r="A127" s="77">
        <v>2997</v>
      </c>
      <c r="B127" s="78" t="s">
        <v>117</v>
      </c>
      <c r="C127">
        <v>3</v>
      </c>
      <c r="D127">
        <v>2200</v>
      </c>
    </row>
    <row r="128" spans="1:4" ht="14" x14ac:dyDescent="0.35">
      <c r="A128" s="77">
        <v>2998</v>
      </c>
      <c r="B128" s="78" t="s">
        <v>118</v>
      </c>
      <c r="C128">
        <v>3</v>
      </c>
      <c r="D128">
        <v>1300</v>
      </c>
    </row>
    <row r="129" spans="1:6" ht="14" x14ac:dyDescent="0.35">
      <c r="A129" s="77">
        <v>2999</v>
      </c>
      <c r="B129" s="78" t="s">
        <v>215</v>
      </c>
      <c r="C129">
        <v>3</v>
      </c>
      <c r="D129">
        <v>1000</v>
      </c>
    </row>
    <row r="130" spans="1:6" ht="14" x14ac:dyDescent="0.35">
      <c r="A130" s="74">
        <v>3000</v>
      </c>
      <c r="B130" s="75" t="s">
        <v>119</v>
      </c>
      <c r="C130">
        <v>4</v>
      </c>
    </row>
    <row r="131" spans="1:6" ht="14" x14ac:dyDescent="0.35">
      <c r="A131" s="74">
        <v>3100</v>
      </c>
      <c r="B131" s="75" t="s">
        <v>69</v>
      </c>
      <c r="C131">
        <v>4</v>
      </c>
    </row>
    <row r="132" spans="1:6" ht="14" x14ac:dyDescent="0.35">
      <c r="A132" s="76">
        <f>Saldobalance!A152</f>
        <v>3110</v>
      </c>
      <c r="B132" s="76" t="str">
        <f>Saldobalance!B152</f>
        <v>Vask opkrævet</v>
      </c>
      <c r="C132">
        <v>1</v>
      </c>
      <c r="F132" t="s">
        <v>27</v>
      </c>
    </row>
    <row r="133" spans="1:6" ht="14" x14ac:dyDescent="0.35">
      <c r="A133" s="76">
        <f>Saldobalance!A153</f>
        <v>3120</v>
      </c>
      <c r="B133" s="76" t="str">
        <f>Saldobalance!B153</f>
        <v>Vask Fælleshuset</v>
      </c>
      <c r="C133">
        <v>1</v>
      </c>
      <c r="F133" t="s">
        <v>27</v>
      </c>
    </row>
    <row r="134" spans="1:6" ht="14" x14ac:dyDescent="0.35">
      <c r="A134" s="76">
        <f>Saldobalance!A154</f>
        <v>3140</v>
      </c>
      <c r="B134" s="76" t="str">
        <f>Saldobalance!B154</f>
        <v>Vaskemidler</v>
      </c>
      <c r="C134">
        <v>1</v>
      </c>
    </row>
    <row r="135" spans="1:6" ht="14" x14ac:dyDescent="0.35">
      <c r="A135" s="76">
        <f>Saldobalance!A155</f>
        <v>3150</v>
      </c>
      <c r="B135" s="76" t="str">
        <f>Saldobalance!B155</f>
        <v>EL</v>
      </c>
      <c r="C135">
        <v>1</v>
      </c>
    </row>
    <row r="136" spans="1:6" ht="14" x14ac:dyDescent="0.35">
      <c r="A136" s="76">
        <f>Saldobalance!A156</f>
        <v>3160</v>
      </c>
      <c r="B136" s="76" t="str">
        <f>Saldobalance!B156</f>
        <v>Gas</v>
      </c>
      <c r="C136">
        <v>1</v>
      </c>
    </row>
    <row r="137" spans="1:6" ht="14" x14ac:dyDescent="0.35">
      <c r="A137" s="76">
        <f>Saldobalance!A157</f>
        <v>3170</v>
      </c>
      <c r="B137" s="76" t="str">
        <f>Saldobalance!B157</f>
        <v>Vand</v>
      </c>
      <c r="C137">
        <v>1</v>
      </c>
    </row>
    <row r="138" spans="1:6" ht="14" x14ac:dyDescent="0.35">
      <c r="A138" s="76">
        <f>Saldobalance!A158</f>
        <v>3180</v>
      </c>
      <c r="B138" s="76" t="str">
        <f>Saldobalance!B158</f>
        <v>Salttabletter</v>
      </c>
      <c r="C138">
        <v>1</v>
      </c>
    </row>
    <row r="139" spans="1:6" ht="14" x14ac:dyDescent="0.35">
      <c r="A139" s="77">
        <v>3199</v>
      </c>
      <c r="B139" s="78" t="s">
        <v>120</v>
      </c>
      <c r="C139">
        <v>3</v>
      </c>
      <c r="D139">
        <v>3100</v>
      </c>
    </row>
    <row r="140" spans="1:6" ht="14" x14ac:dyDescent="0.35">
      <c r="A140" s="74">
        <v>3200</v>
      </c>
      <c r="B140" s="75" t="s">
        <v>53</v>
      </c>
      <c r="C140">
        <v>4</v>
      </c>
    </row>
    <row r="141" spans="1:6" ht="14" x14ac:dyDescent="0.35">
      <c r="A141" s="76">
        <f>Saldobalance!A162</f>
        <v>3210</v>
      </c>
      <c r="B141" s="76" t="str">
        <f>Saldobalance!B162</f>
        <v>Vand opkrævet</v>
      </c>
      <c r="C141">
        <v>1</v>
      </c>
      <c r="F141" t="s">
        <v>27</v>
      </c>
    </row>
    <row r="142" spans="1:6" ht="14" x14ac:dyDescent="0.35">
      <c r="A142" s="76">
        <f>Saldobalance!A163</f>
        <v>3220</v>
      </c>
      <c r="B142" s="76" t="str">
        <f>Saldobalance!B163</f>
        <v>Vand Fælleshuset</v>
      </c>
      <c r="C142">
        <v>1</v>
      </c>
      <c r="F142" t="s">
        <v>27</v>
      </c>
    </row>
    <row r="143" spans="1:6" ht="14" x14ac:dyDescent="0.35">
      <c r="A143" s="76">
        <f>Saldobalance!A164</f>
        <v>3230</v>
      </c>
      <c r="B143" s="76" t="str">
        <f>Saldobalance!B164</f>
        <v>Vand vaskeriet</v>
      </c>
      <c r="C143">
        <v>1</v>
      </c>
      <c r="F143" t="s">
        <v>27</v>
      </c>
    </row>
    <row r="144" spans="1:6" ht="14" x14ac:dyDescent="0.35">
      <c r="A144" s="76">
        <f>Saldobalance!A165</f>
        <v>3240</v>
      </c>
      <c r="B144" s="76" t="str">
        <f>Saldobalance!B165</f>
        <v>Vand Fredensborg Forsyning</v>
      </c>
      <c r="C144">
        <v>1</v>
      </c>
    </row>
    <row r="145" spans="1:6" ht="14" x14ac:dyDescent="0.35">
      <c r="A145" s="77">
        <v>3299</v>
      </c>
      <c r="B145" s="78" t="s">
        <v>121</v>
      </c>
      <c r="C145">
        <v>3</v>
      </c>
      <c r="D145">
        <v>3200</v>
      </c>
    </row>
    <row r="146" spans="1:6" ht="14" x14ac:dyDescent="0.35">
      <c r="A146" s="74">
        <v>3300</v>
      </c>
      <c r="B146" s="75" t="s">
        <v>182</v>
      </c>
      <c r="C146">
        <v>4</v>
      </c>
    </row>
    <row r="147" spans="1:6" ht="14" x14ac:dyDescent="0.35">
      <c r="A147" s="76">
        <f>Saldobalance!A169</f>
        <v>3310</v>
      </c>
      <c r="B147" s="76" t="str">
        <f>Saldobalance!B169</f>
        <v>Varme opkrævet</v>
      </c>
      <c r="C147">
        <v>1</v>
      </c>
      <c r="F147" t="s">
        <v>27</v>
      </c>
    </row>
    <row r="148" spans="1:6" ht="14" x14ac:dyDescent="0.35">
      <c r="A148" s="76">
        <f>Saldobalance!A170</f>
        <v>3320</v>
      </c>
      <c r="B148" s="76" t="str">
        <f>Saldobalance!B170</f>
        <v>Varme Fælleshuset</v>
      </c>
      <c r="C148">
        <v>1</v>
      </c>
      <c r="F148" t="s">
        <v>27</v>
      </c>
    </row>
    <row r="149" spans="1:6" ht="14" x14ac:dyDescent="0.35">
      <c r="A149" s="76">
        <f>Saldobalance!A171</f>
        <v>3330</v>
      </c>
      <c r="B149" s="76" t="str">
        <f>Saldobalance!B171</f>
        <v>Gas vaskeriet</v>
      </c>
      <c r="C149">
        <v>1</v>
      </c>
      <c r="F149" t="s">
        <v>27</v>
      </c>
    </row>
    <row r="150" spans="1:6" ht="14" x14ac:dyDescent="0.35">
      <c r="A150" s="76">
        <f>Saldobalance!A172</f>
        <v>3340</v>
      </c>
      <c r="B150" s="76" t="str">
        <f>Saldobalance!B172</f>
        <v>HNG</v>
      </c>
      <c r="C150">
        <v>1</v>
      </c>
    </row>
    <row r="151" spans="1:6" ht="14" x14ac:dyDescent="0.35">
      <c r="A151" s="77">
        <v>3399</v>
      </c>
      <c r="B151" s="78" t="s">
        <v>122</v>
      </c>
      <c r="C151">
        <v>3</v>
      </c>
      <c r="D151">
        <v>3300</v>
      </c>
    </row>
    <row r="152" spans="1:6" ht="14" x14ac:dyDescent="0.35">
      <c r="A152" s="74">
        <v>3400</v>
      </c>
      <c r="B152" s="75" t="s">
        <v>15</v>
      </c>
      <c r="C152">
        <v>4</v>
      </c>
    </row>
    <row r="153" spans="1:6" ht="14" x14ac:dyDescent="0.35">
      <c r="A153" s="76">
        <f>Saldobalance!A176</f>
        <v>3410</v>
      </c>
      <c r="B153" s="76" t="str">
        <f>Saldobalance!B176</f>
        <v>Renovation opkrævet</v>
      </c>
      <c r="C153">
        <v>1</v>
      </c>
      <c r="F153" t="s">
        <v>27</v>
      </c>
    </row>
    <row r="154" spans="1:6" ht="14" x14ac:dyDescent="0.35">
      <c r="A154" s="76">
        <f>Saldobalance!A177</f>
        <v>3420</v>
      </c>
      <c r="B154" s="76" t="str">
        <f>Saldobalance!B177</f>
        <v>Renovation Fælleshuset</v>
      </c>
      <c r="C154">
        <v>1</v>
      </c>
      <c r="F154" t="s">
        <v>27</v>
      </c>
    </row>
    <row r="155" spans="1:6" ht="14" x14ac:dyDescent="0.35">
      <c r="A155" s="76">
        <f>Saldobalance!A178</f>
        <v>3430</v>
      </c>
      <c r="B155" s="76" t="str">
        <f>Saldobalance!B178</f>
        <v>Renovation Fredensborg Forsyning</v>
      </c>
      <c r="C155">
        <v>1</v>
      </c>
    </row>
    <row r="156" spans="1:6" ht="14" x14ac:dyDescent="0.35">
      <c r="A156" s="77">
        <v>3499</v>
      </c>
      <c r="B156" s="78" t="s">
        <v>123</v>
      </c>
      <c r="C156">
        <v>3</v>
      </c>
      <c r="D156">
        <v>3400</v>
      </c>
    </row>
    <row r="157" spans="1:6" ht="14" x14ac:dyDescent="0.35">
      <c r="A157" s="74">
        <v>3500</v>
      </c>
      <c r="B157" s="75" t="s">
        <v>12</v>
      </c>
      <c r="C157">
        <v>4</v>
      </c>
    </row>
    <row r="158" spans="1:6" ht="14" x14ac:dyDescent="0.35">
      <c r="A158" s="76">
        <f>Saldobalance!A182</f>
        <v>3510</v>
      </c>
      <c r="B158" s="76" t="str">
        <f>Saldobalance!B182</f>
        <v>TV opkrævet</v>
      </c>
      <c r="C158">
        <v>1</v>
      </c>
      <c r="F158" t="s">
        <v>27</v>
      </c>
    </row>
    <row r="159" spans="1:6" ht="14" x14ac:dyDescent="0.35">
      <c r="A159" s="76">
        <f>Saldobalance!A183</f>
        <v>3520</v>
      </c>
      <c r="B159" s="76" t="str">
        <f>Saldobalance!B183</f>
        <v>TV Fælleshuset</v>
      </c>
      <c r="C159">
        <v>1</v>
      </c>
      <c r="F159" t="s">
        <v>27</v>
      </c>
    </row>
    <row r="160" spans="1:6" ht="14" x14ac:dyDescent="0.35">
      <c r="A160" s="76">
        <f>Saldobalance!A184</f>
        <v>3530</v>
      </c>
      <c r="B160" s="76" t="str">
        <f>Saldobalance!B184</f>
        <v>YouSee og andre</v>
      </c>
      <c r="C160">
        <v>1</v>
      </c>
    </row>
    <row r="161" spans="1:6" ht="14" x14ac:dyDescent="0.35">
      <c r="A161" s="77">
        <v>3599</v>
      </c>
      <c r="B161" s="78" t="s">
        <v>124</v>
      </c>
      <c r="C161">
        <v>3</v>
      </c>
      <c r="D161">
        <v>3500</v>
      </c>
    </row>
    <row r="162" spans="1:6" ht="14" x14ac:dyDescent="0.35">
      <c r="A162" s="74">
        <v>3600</v>
      </c>
      <c r="B162" s="75" t="s">
        <v>5</v>
      </c>
      <c r="C162">
        <v>4</v>
      </c>
    </row>
    <row r="163" spans="1:6" ht="14" x14ac:dyDescent="0.35">
      <c r="A163" s="76">
        <f>Saldobalance!A188</f>
        <v>3610</v>
      </c>
      <c r="B163" s="76" t="str">
        <f>Saldobalance!B188</f>
        <v>Øl fustager opkrævet</v>
      </c>
      <c r="C163">
        <v>1</v>
      </c>
      <c r="F163" t="s">
        <v>27</v>
      </c>
    </row>
    <row r="164" spans="1:6" ht="14" x14ac:dyDescent="0.35">
      <c r="A164" s="76">
        <f>Saldobalance!A189</f>
        <v>3620</v>
      </c>
      <c r="B164" s="76" t="str">
        <f>Saldobalance!B189</f>
        <v>Øl fustager Fælleshuset</v>
      </c>
      <c r="C164">
        <v>1</v>
      </c>
      <c r="F164" t="s">
        <v>27</v>
      </c>
    </row>
    <row r="165" spans="1:6" ht="14" x14ac:dyDescent="0.35">
      <c r="A165" s="76">
        <f>Saldobalance!A190</f>
        <v>3625</v>
      </c>
      <c r="B165" s="76" t="str">
        <f>Saldobalance!B190</f>
        <v>Regulering af lagerbeholdning</v>
      </c>
      <c r="C165">
        <v>1</v>
      </c>
    </row>
    <row r="166" spans="1:6" ht="14" x14ac:dyDescent="0.35">
      <c r="A166" s="76">
        <f>Saldobalance!A191</f>
        <v>3630</v>
      </c>
      <c r="B166" s="76" t="str">
        <f>Saldobalance!B191</f>
        <v>Tuborg og andre</v>
      </c>
      <c r="C166">
        <v>1</v>
      </c>
    </row>
    <row r="167" spans="1:6" ht="14" x14ac:dyDescent="0.35">
      <c r="A167" s="77">
        <v>3699</v>
      </c>
      <c r="B167" s="78" t="s">
        <v>125</v>
      </c>
      <c r="C167">
        <v>3</v>
      </c>
      <c r="D167">
        <v>3600</v>
      </c>
    </row>
    <row r="168" spans="1:6" ht="14" x14ac:dyDescent="0.35">
      <c r="A168" s="74">
        <v>3700</v>
      </c>
      <c r="B168" s="75" t="s">
        <v>126</v>
      </c>
      <c r="C168">
        <v>4</v>
      </c>
    </row>
    <row r="169" spans="1:6" ht="14" x14ac:dyDescent="0.35">
      <c r="A169" s="76">
        <f>Saldobalance!A195</f>
        <v>3710</v>
      </c>
      <c r="B169" s="76" t="str">
        <f>Saldobalance!B195</f>
        <v>Mælk opkrævet</v>
      </c>
      <c r="C169">
        <v>1</v>
      </c>
      <c r="F169" t="s">
        <v>27</v>
      </c>
    </row>
    <row r="170" spans="1:6" s="150" customFormat="1" ht="14" x14ac:dyDescent="0.35">
      <c r="A170" s="76">
        <f>Saldobalance!A196</f>
        <v>3720</v>
      </c>
      <c r="B170" s="76" t="str">
        <f>Saldobalance!B196</f>
        <v>Mælk Fælleshuset</v>
      </c>
      <c r="C170" s="150">
        <v>1</v>
      </c>
      <c r="F170" s="150" t="s">
        <v>27</v>
      </c>
    </row>
    <row r="171" spans="1:6" ht="14" x14ac:dyDescent="0.35">
      <c r="A171" s="76">
        <f>Saldobalance!A197</f>
        <v>3730</v>
      </c>
      <c r="B171" s="76" t="str">
        <f>Saldobalance!B197</f>
        <v>Øllingegård</v>
      </c>
      <c r="C171">
        <v>1</v>
      </c>
    </row>
    <row r="172" spans="1:6" ht="14" x14ac:dyDescent="0.35">
      <c r="A172" s="77">
        <v>3799</v>
      </c>
      <c r="B172" s="78" t="s">
        <v>127</v>
      </c>
      <c r="C172">
        <v>3</v>
      </c>
      <c r="D172">
        <v>3700</v>
      </c>
    </row>
    <row r="173" spans="1:6" ht="14" x14ac:dyDescent="0.35">
      <c r="A173" s="74">
        <v>3900</v>
      </c>
      <c r="B173" s="75" t="s">
        <v>202</v>
      </c>
      <c r="C173">
        <v>4</v>
      </c>
    </row>
    <row r="174" spans="1:6" ht="14" x14ac:dyDescent="0.35">
      <c r="A174" s="76">
        <f>Saldobalance!A201</f>
        <v>3910</v>
      </c>
      <c r="B174" s="76" t="str">
        <f>Saldobalance!B201</f>
        <v>Kultur opkrævet</v>
      </c>
      <c r="C174">
        <v>1</v>
      </c>
      <c r="F174" t="s">
        <v>27</v>
      </c>
    </row>
    <row r="175" spans="1:6" s="150" customFormat="1" ht="14" x14ac:dyDescent="0.35">
      <c r="A175" s="76">
        <f>Saldobalance!A202</f>
        <v>3920</v>
      </c>
      <c r="B175" s="76" t="str">
        <f>Saldobalance!B202</f>
        <v>Kultur Fælleshuset</v>
      </c>
      <c r="C175" s="150">
        <v>1</v>
      </c>
      <c r="F175" s="150" t="s">
        <v>27</v>
      </c>
    </row>
    <row r="176" spans="1:6" ht="14" x14ac:dyDescent="0.35">
      <c r="A176" s="76">
        <f>Saldobalance!A203</f>
        <v>3930</v>
      </c>
      <c r="B176" s="76" t="str">
        <f>Saldobalance!B203</f>
        <v>Kultur udlæg</v>
      </c>
      <c r="C176">
        <v>1</v>
      </c>
    </row>
    <row r="177" spans="1:8" ht="14" x14ac:dyDescent="0.35">
      <c r="A177" s="77">
        <v>3999</v>
      </c>
      <c r="B177" s="78" t="s">
        <v>206</v>
      </c>
      <c r="C177">
        <v>3</v>
      </c>
      <c r="D177">
        <v>3900</v>
      </c>
    </row>
    <row r="178" spans="1:8" ht="14" x14ac:dyDescent="0.35">
      <c r="A178" s="77">
        <v>4900</v>
      </c>
      <c r="B178" s="78" t="s">
        <v>203</v>
      </c>
      <c r="C178">
        <v>3</v>
      </c>
      <c r="D178">
        <v>3000</v>
      </c>
    </row>
    <row r="179" spans="1:8" ht="14" x14ac:dyDescent="0.35">
      <c r="A179" s="77">
        <v>4990</v>
      </c>
      <c r="B179" s="78" t="s">
        <v>130</v>
      </c>
      <c r="C179">
        <v>3</v>
      </c>
      <c r="D179">
        <v>1000</v>
      </c>
    </row>
    <row r="180" spans="1:8" ht="14" x14ac:dyDescent="0.35">
      <c r="A180" s="74">
        <v>5000</v>
      </c>
      <c r="B180" s="75" t="s">
        <v>131</v>
      </c>
      <c r="C180">
        <v>5</v>
      </c>
    </row>
    <row r="181" spans="1:8" ht="14" x14ac:dyDescent="0.35">
      <c r="A181" s="74">
        <v>5010</v>
      </c>
      <c r="B181" s="75" t="s">
        <v>132</v>
      </c>
      <c r="C181">
        <v>4</v>
      </c>
    </row>
    <row r="182" spans="1:8" ht="14" x14ac:dyDescent="0.35">
      <c r="A182" s="74">
        <v>5100</v>
      </c>
      <c r="B182" s="75" t="s">
        <v>133</v>
      </c>
      <c r="C182">
        <v>4</v>
      </c>
    </row>
    <row r="183" spans="1:8" ht="14" x14ac:dyDescent="0.35">
      <c r="A183" s="76">
        <f>Saldobalance!A213</f>
        <v>5101</v>
      </c>
      <c r="B183" s="76" t="str">
        <f>Saldobalance!B213</f>
        <v>Tørretumbler, 1999</v>
      </c>
      <c r="C183">
        <v>2</v>
      </c>
    </row>
    <row r="184" spans="1:8" ht="14" x14ac:dyDescent="0.35">
      <c r="A184" s="76">
        <f>Saldobalance!A214</f>
        <v>5102</v>
      </c>
      <c r="B184" s="76" t="str">
        <f>Saldobalance!B214</f>
        <v>Vaskemaskiner, 2011</v>
      </c>
      <c r="C184">
        <v>2</v>
      </c>
    </row>
    <row r="185" spans="1:8" ht="14.5" x14ac:dyDescent="0.35">
      <c r="A185" s="76">
        <f>Saldobalance!A215</f>
        <v>5104</v>
      </c>
      <c r="B185" s="76" t="str">
        <f>Saldobalance!B215</f>
        <v>Nye fyr, 1999</v>
      </c>
      <c r="C185">
        <v>2</v>
      </c>
      <c r="H185" s="64"/>
    </row>
    <row r="186" spans="1:8" ht="14.5" x14ac:dyDescent="0.35">
      <c r="A186" s="76">
        <f>Saldobalance!A216</f>
        <v>5106</v>
      </c>
      <c r="B186" s="76" t="str">
        <f>Saldobalance!B216</f>
        <v>Nyt Køkken</v>
      </c>
      <c r="C186">
        <v>2</v>
      </c>
      <c r="H186" s="64"/>
    </row>
    <row r="187" spans="1:8" ht="14.5" x14ac:dyDescent="0.35">
      <c r="A187" s="76">
        <f>Saldobalance!A217</f>
        <v>5108</v>
      </c>
      <c r="B187" s="76" t="str">
        <f>Saldobalance!B217</f>
        <v>Gl. RKD-lån</v>
      </c>
      <c r="C187">
        <v>2</v>
      </c>
      <c r="H187" s="64"/>
    </row>
    <row r="188" spans="1:8" ht="14" x14ac:dyDescent="0.35">
      <c r="A188" s="77">
        <v>5199</v>
      </c>
      <c r="B188" s="78" t="s">
        <v>135</v>
      </c>
      <c r="C188">
        <v>3</v>
      </c>
      <c r="D188">
        <v>5100</v>
      </c>
    </row>
    <row r="189" spans="1:8" ht="14" x14ac:dyDescent="0.35">
      <c r="A189" s="74">
        <v>5200</v>
      </c>
      <c r="B189" s="75" t="s">
        <v>136</v>
      </c>
      <c r="C189">
        <v>4</v>
      </c>
    </row>
    <row r="190" spans="1:8" ht="14" x14ac:dyDescent="0.35">
      <c r="A190" s="76">
        <f>Saldobalance!A221</f>
        <v>5221</v>
      </c>
      <c r="B190" s="76" t="str">
        <f>Saldobalance!B221</f>
        <v>Landbrugsjord - 7 B</v>
      </c>
      <c r="C190">
        <v>2</v>
      </c>
    </row>
    <row r="191" spans="1:8" ht="14" x14ac:dyDescent="0.35">
      <c r="A191" s="76">
        <f>Saldobalance!A222</f>
        <v>5222</v>
      </c>
      <c r="B191" s="76" t="str">
        <f>Saldobalance!B222</f>
        <v>Stuehus + Østlængen - 7 AV</v>
      </c>
      <c r="C191">
        <v>2</v>
      </c>
    </row>
    <row r="192" spans="1:8" ht="14" x14ac:dyDescent="0.35">
      <c r="A192" s="76">
        <f>Saldobalance!A223</f>
        <v>5223</v>
      </c>
      <c r="B192" s="76" t="str">
        <f>Saldobalance!B223</f>
        <v>Fælleshus - 9 N</v>
      </c>
      <c r="C192">
        <v>2</v>
      </c>
    </row>
    <row r="193" spans="1:4" ht="14" x14ac:dyDescent="0.35">
      <c r="A193" s="77">
        <v>5299</v>
      </c>
      <c r="B193" s="78" t="s">
        <v>137</v>
      </c>
      <c r="C193">
        <v>3</v>
      </c>
      <c r="D193">
        <v>5200</v>
      </c>
    </row>
    <row r="194" spans="1:4" ht="14" x14ac:dyDescent="0.35">
      <c r="A194" s="76">
        <f>Saldobalance!A225</f>
        <v>5300</v>
      </c>
      <c r="B194" s="76" t="str">
        <f>Saldobalance!B225</f>
        <v>GEF tilgode hos I/S</v>
      </c>
      <c r="C194">
        <v>2</v>
      </c>
    </row>
    <row r="195" spans="1:4" ht="14" x14ac:dyDescent="0.35">
      <c r="A195" s="77">
        <v>5399</v>
      </c>
      <c r="B195" s="78" t="s">
        <v>139</v>
      </c>
      <c r="C195">
        <v>3</v>
      </c>
      <c r="D195">
        <v>5010</v>
      </c>
    </row>
    <row r="196" spans="1:4" ht="14" x14ac:dyDescent="0.35">
      <c r="A196" s="74">
        <v>5400</v>
      </c>
      <c r="B196" s="75" t="s">
        <v>140</v>
      </c>
      <c r="C196">
        <v>4</v>
      </c>
    </row>
    <row r="197" spans="1:4" ht="14" x14ac:dyDescent="0.35">
      <c r="A197" s="74">
        <v>5410</v>
      </c>
      <c r="B197" s="75" t="s">
        <v>141</v>
      </c>
      <c r="C197">
        <v>4</v>
      </c>
    </row>
    <row r="198" spans="1:4" ht="14" x14ac:dyDescent="0.35">
      <c r="A198" s="76">
        <f>Saldobalance!A231</f>
        <v>5420</v>
      </c>
      <c r="B198" s="76" t="str">
        <f>Saldobalance!B231</f>
        <v>Tilgodehavender hos Bofæller</v>
      </c>
      <c r="C198">
        <v>2</v>
      </c>
    </row>
    <row r="199" spans="1:4" ht="14" x14ac:dyDescent="0.35">
      <c r="A199" s="77">
        <v>5499</v>
      </c>
      <c r="B199" s="78" t="s">
        <v>142</v>
      </c>
      <c r="C199">
        <v>3</v>
      </c>
      <c r="D199">
        <v>5410</v>
      </c>
    </row>
    <row r="200" spans="1:4" ht="14" x14ac:dyDescent="0.35">
      <c r="A200" s="74">
        <v>5500</v>
      </c>
      <c r="B200" s="75" t="s">
        <v>143</v>
      </c>
      <c r="C200">
        <v>4</v>
      </c>
    </row>
    <row r="201" spans="1:4" ht="14" x14ac:dyDescent="0.35">
      <c r="A201" s="76">
        <f>Saldobalance!A235</f>
        <v>5519</v>
      </c>
      <c r="B201" s="76" t="str">
        <f>Saldobalance!B235</f>
        <v>Forudbetalte poster</v>
      </c>
      <c r="C201">
        <v>2</v>
      </c>
    </row>
    <row r="202" spans="1:4" ht="14" x14ac:dyDescent="0.35">
      <c r="A202" s="76">
        <f>Saldobalance!A236</f>
        <v>5520</v>
      </c>
      <c r="B202" s="76" t="str">
        <f>Saldobalance!B236</f>
        <v>Forskud fåregruppen</v>
      </c>
      <c r="C202">
        <v>2</v>
      </c>
    </row>
    <row r="203" spans="1:4" ht="14" x14ac:dyDescent="0.35">
      <c r="A203" s="76">
        <f>Saldobalance!A237</f>
        <v>5530</v>
      </c>
      <c r="B203" s="76" t="str">
        <f>Saldobalance!B237</f>
        <v>Depositum mælkeordningen - udgået</v>
      </c>
      <c r="C203">
        <v>2</v>
      </c>
    </row>
    <row r="204" spans="1:4" ht="14" x14ac:dyDescent="0.35">
      <c r="A204" s="76">
        <f>Saldobalance!A238</f>
        <v>5550</v>
      </c>
      <c r="B204" s="76" t="str">
        <f>Saldobalance!B238</f>
        <v>Vandregnskab</v>
      </c>
      <c r="C204">
        <v>2</v>
      </c>
    </row>
    <row r="205" spans="1:4" ht="14" x14ac:dyDescent="0.35">
      <c r="A205" s="76">
        <f>Saldobalance!A239</f>
        <v>5560</v>
      </c>
      <c r="B205" s="76" t="str">
        <f>Saldobalance!B239</f>
        <v>Varmeregnskab</v>
      </c>
      <c r="C205">
        <v>2</v>
      </c>
    </row>
    <row r="206" spans="1:4" ht="14" x14ac:dyDescent="0.35">
      <c r="A206" s="76">
        <f>Saldobalance!A240</f>
        <v>5570</v>
      </c>
      <c r="B206" s="76" t="str">
        <f>Saldobalance!B240</f>
        <v>Fadøl - lagerbeholdning</v>
      </c>
      <c r="C206">
        <v>2</v>
      </c>
    </row>
    <row r="207" spans="1:4" ht="14" x14ac:dyDescent="0.35">
      <c r="A207" s="76">
        <f>Saldobalance!A241</f>
        <v>5580</v>
      </c>
      <c r="B207" s="76" t="str">
        <f>Saldobalance!B241</f>
        <v>Fåreprodukter- lagerbeholdning</v>
      </c>
      <c r="C207">
        <v>2</v>
      </c>
    </row>
    <row r="208" spans="1:4" ht="14" x14ac:dyDescent="0.35">
      <c r="A208" s="76">
        <f>Saldobalance!A242</f>
        <v>5582</v>
      </c>
      <c r="B208" s="76" t="str">
        <f>Saldobalance!B242</f>
        <v>Hegn og hus/får</v>
      </c>
      <c r="C208">
        <v>2</v>
      </c>
    </row>
    <row r="209" spans="1:4" ht="14" x14ac:dyDescent="0.35">
      <c r="A209" s="76">
        <f>Saldobalance!A243</f>
        <v>5584</v>
      </c>
      <c r="B209" s="76" t="str">
        <f>Saldobalance!B243</f>
        <v>Besætning/får</v>
      </c>
      <c r="C209">
        <v>2</v>
      </c>
    </row>
    <row r="210" spans="1:4" ht="14" x14ac:dyDescent="0.35">
      <c r="A210" s="77">
        <v>5599</v>
      </c>
      <c r="B210" s="78" t="s">
        <v>149</v>
      </c>
      <c r="C210">
        <v>3</v>
      </c>
      <c r="D210">
        <v>5500</v>
      </c>
    </row>
    <row r="211" spans="1:4" ht="14" x14ac:dyDescent="0.35">
      <c r="A211" s="74">
        <v>5900</v>
      </c>
      <c r="B211" s="75" t="s">
        <v>150</v>
      </c>
      <c r="C211">
        <v>4</v>
      </c>
    </row>
    <row r="212" spans="1:4" ht="14" x14ac:dyDescent="0.35">
      <c r="A212" s="76">
        <f>Saldobalance!A248</f>
        <v>5910</v>
      </c>
      <c r="B212" s="76" t="str">
        <f>Saldobalance!B248</f>
        <v>Kontant</v>
      </c>
      <c r="C212">
        <v>2</v>
      </c>
    </row>
    <row r="213" spans="1:4" ht="14" x14ac:dyDescent="0.35">
      <c r="A213" s="76">
        <f>Saldobalance!A249</f>
        <v>5920</v>
      </c>
      <c r="B213" s="76" t="str">
        <f>Saldobalance!B249</f>
        <v>Finansbanken 1122183</v>
      </c>
      <c r="C213">
        <v>2</v>
      </c>
    </row>
    <row r="214" spans="1:4" ht="14" x14ac:dyDescent="0.35">
      <c r="A214" s="76">
        <f>Saldobalance!A250</f>
        <v>5930</v>
      </c>
      <c r="B214" s="76" t="str">
        <f>Saldobalance!B250</f>
        <v>Jyske Bank 135684-2 - Udgået</v>
      </c>
      <c r="C214">
        <v>2</v>
      </c>
    </row>
    <row r="215" spans="1:4" ht="14" x14ac:dyDescent="0.35">
      <c r="A215" s="76">
        <f>Saldobalance!A251</f>
        <v>5940</v>
      </c>
      <c r="B215" s="76" t="str">
        <f>Saldobalance!B251</f>
        <v>Nordea - 3495871427</v>
      </c>
      <c r="C215">
        <v>2</v>
      </c>
    </row>
    <row r="216" spans="1:4" ht="14" x14ac:dyDescent="0.35">
      <c r="A216" s="77">
        <v>5960</v>
      </c>
      <c r="B216" s="78" t="s">
        <v>152</v>
      </c>
      <c r="C216">
        <v>3</v>
      </c>
      <c r="D216">
        <v>5900</v>
      </c>
    </row>
    <row r="217" spans="1:4" ht="14" x14ac:dyDescent="0.35">
      <c r="A217" s="77">
        <v>5990</v>
      </c>
      <c r="B217" s="78" t="s">
        <v>154</v>
      </c>
      <c r="C217">
        <v>3</v>
      </c>
      <c r="D217">
        <v>5400</v>
      </c>
    </row>
    <row r="218" spans="1:4" ht="14" x14ac:dyDescent="0.35">
      <c r="A218" s="77">
        <v>5998</v>
      </c>
      <c r="B218" s="78" t="s">
        <v>153</v>
      </c>
      <c r="C218">
        <v>3</v>
      </c>
      <c r="D218">
        <v>5000</v>
      </c>
    </row>
    <row r="219" spans="1:4" ht="14" x14ac:dyDescent="0.35">
      <c r="A219" s="74">
        <v>6000</v>
      </c>
      <c r="B219" s="75" t="s">
        <v>155</v>
      </c>
      <c r="C219">
        <v>5</v>
      </c>
    </row>
    <row r="220" spans="1:4" ht="14" x14ac:dyDescent="0.35">
      <c r="A220" s="74">
        <v>6100</v>
      </c>
      <c r="B220" s="75" t="s">
        <v>156</v>
      </c>
      <c r="C220">
        <v>4</v>
      </c>
    </row>
    <row r="221" spans="1:4" ht="14" x14ac:dyDescent="0.35">
      <c r="A221" s="76">
        <f>Saldobalance!A259</f>
        <v>6110</v>
      </c>
      <c r="B221" s="76" t="str">
        <f>Saldobalance!B259</f>
        <v>Egenkapital primo</v>
      </c>
      <c r="C221">
        <v>2</v>
      </c>
    </row>
    <row r="222" spans="1:4" ht="14" x14ac:dyDescent="0.35">
      <c r="A222" s="77">
        <v>6112</v>
      </c>
      <c r="B222" s="78" t="s">
        <v>158</v>
      </c>
      <c r="C222">
        <v>6</v>
      </c>
      <c r="D222" t="s">
        <v>159</v>
      </c>
    </row>
    <row r="223" spans="1:4" ht="14" x14ac:dyDescent="0.35">
      <c r="A223" s="76">
        <f>Saldobalance!A261</f>
        <v>6130</v>
      </c>
      <c r="B223" s="76" t="str">
        <f>Saldobalance!B261</f>
        <v>Årets reguleringer af egenkapitalen</v>
      </c>
      <c r="C223">
        <v>2</v>
      </c>
    </row>
    <row r="224" spans="1:4" ht="14" x14ac:dyDescent="0.35">
      <c r="A224" s="77">
        <v>6199</v>
      </c>
      <c r="B224" s="78" t="s">
        <v>160</v>
      </c>
      <c r="C224">
        <v>6</v>
      </c>
      <c r="D224" t="s">
        <v>161</v>
      </c>
    </row>
    <row r="225" spans="1:4" ht="14" x14ac:dyDescent="0.35">
      <c r="A225" s="74">
        <v>6300</v>
      </c>
      <c r="B225" s="75" t="s">
        <v>162</v>
      </c>
      <c r="C225">
        <v>4</v>
      </c>
    </row>
    <row r="226" spans="1:4" ht="14" x14ac:dyDescent="0.35">
      <c r="A226" s="76">
        <f>Saldobalance!A265</f>
        <v>6320</v>
      </c>
      <c r="B226" s="76" t="str">
        <f>Saldobalance!B265</f>
        <v>Opsparing</v>
      </c>
      <c r="C226">
        <v>2</v>
      </c>
    </row>
    <row r="227" spans="1:4" ht="14" x14ac:dyDescent="0.35">
      <c r="A227" s="76">
        <f>Saldobalance!A266</f>
        <v>6340</v>
      </c>
      <c r="B227" s="76" t="str">
        <f>Saldobalance!B266</f>
        <v>Huslejedepositum - Hus 26A</v>
      </c>
      <c r="C227">
        <v>2</v>
      </c>
    </row>
    <row r="228" spans="1:4" ht="14" x14ac:dyDescent="0.35">
      <c r="A228" s="76">
        <f>Saldobalance!A267</f>
        <v>6345</v>
      </c>
      <c r="B228" s="76" t="str">
        <f>Saldobalance!B267</f>
        <v>Huslejedepositum - Hus 26C</v>
      </c>
      <c r="C228">
        <v>2</v>
      </c>
    </row>
    <row r="229" spans="1:4" ht="14" x14ac:dyDescent="0.35">
      <c r="A229" s="76">
        <f>Saldobalance!A268</f>
        <v>6350</v>
      </c>
      <c r="B229" s="76" t="str">
        <f>Saldobalance!B268</f>
        <v>Indvendig vedligehold - Hus 26A</v>
      </c>
      <c r="C229">
        <v>2</v>
      </c>
    </row>
    <row r="230" spans="1:4" ht="14" x14ac:dyDescent="0.35">
      <c r="A230" s="76">
        <f>Saldobalance!A269</f>
        <v>6360</v>
      </c>
      <c r="B230" s="76" t="str">
        <f>Saldobalance!B269</f>
        <v>Indvendig vedligehold - Hus 26C</v>
      </c>
      <c r="C230">
        <v>2</v>
      </c>
    </row>
    <row r="231" spans="1:4" ht="14" x14ac:dyDescent="0.35">
      <c r="A231" s="76">
        <f>Saldobalance!A270</f>
        <v>6380</v>
      </c>
      <c r="B231" s="76" t="str">
        <f>Saldobalance!B270</f>
        <v>Øvrige hensættelser</v>
      </c>
      <c r="C231">
        <v>2</v>
      </c>
    </row>
    <row r="232" spans="1:4" ht="14" x14ac:dyDescent="0.35">
      <c r="A232" s="77">
        <v>6399</v>
      </c>
      <c r="B232" s="78" t="s">
        <v>164</v>
      </c>
      <c r="C232">
        <v>3</v>
      </c>
      <c r="D232">
        <v>6300</v>
      </c>
    </row>
    <row r="233" spans="1:4" ht="14" x14ac:dyDescent="0.35">
      <c r="A233" s="74">
        <v>6600</v>
      </c>
      <c r="B233" s="75" t="s">
        <v>192</v>
      </c>
      <c r="C233">
        <v>4</v>
      </c>
    </row>
    <row r="234" spans="1:4" ht="14" x14ac:dyDescent="0.35">
      <c r="A234" s="74">
        <v>6605</v>
      </c>
      <c r="B234" s="75" t="s">
        <v>165</v>
      </c>
      <c r="C234">
        <v>4</v>
      </c>
    </row>
    <row r="235" spans="1:4" ht="14" x14ac:dyDescent="0.35">
      <c r="A235" s="76">
        <f>Saldobalance!A276</f>
        <v>6620</v>
      </c>
      <c r="B235" s="76" t="str">
        <f>Saldobalance!B276</f>
        <v>Prioritetslån RKD</v>
      </c>
      <c r="C235">
        <v>2</v>
      </c>
    </row>
    <row r="236" spans="1:4" ht="14" x14ac:dyDescent="0.35">
      <c r="A236" s="76">
        <f>Saldobalance!A277</f>
        <v>6630</v>
      </c>
      <c r="B236" s="76" t="str">
        <f>Saldobalance!B277</f>
        <v>Finansbanken 1243045 - fyrudskiftning</v>
      </c>
      <c r="C236">
        <v>2</v>
      </c>
    </row>
    <row r="237" spans="1:4" ht="14" x14ac:dyDescent="0.35">
      <c r="A237" s="76">
        <f>Saldobalance!A278</f>
        <v>6640</v>
      </c>
      <c r="B237" s="76" t="str">
        <f>Saldobalance!B278</f>
        <v>Finansbanken 1234291 - komfur &amp; ovn</v>
      </c>
      <c r="C237">
        <v>2</v>
      </c>
    </row>
    <row r="238" spans="1:4" ht="14" x14ac:dyDescent="0.35">
      <c r="A238" s="76">
        <f>Saldobalance!A279</f>
        <v>6650</v>
      </c>
      <c r="B238" s="76" t="str">
        <f>Saldobalance!B279</f>
        <v>Finansbanken 1328083 - Tørretumbler</v>
      </c>
      <c r="C238">
        <v>2</v>
      </c>
    </row>
    <row r="239" spans="1:4" ht="14" x14ac:dyDescent="0.35">
      <c r="A239" s="76">
        <f>Saldobalance!A280</f>
        <v>6660</v>
      </c>
      <c r="B239" s="76" t="str">
        <f>Saldobalance!B280</f>
        <v>Nordea Prioritet</v>
      </c>
      <c r="C239">
        <v>2</v>
      </c>
    </row>
    <row r="240" spans="1:4" ht="14" x14ac:dyDescent="0.35">
      <c r="A240" s="77">
        <v>6799</v>
      </c>
      <c r="B240" s="78" t="s">
        <v>167</v>
      </c>
      <c r="C240">
        <v>3</v>
      </c>
      <c r="D240">
        <v>6605</v>
      </c>
    </row>
    <row r="241" spans="1:4" ht="14" x14ac:dyDescent="0.35">
      <c r="A241" s="74">
        <v>6900</v>
      </c>
      <c r="B241" s="75" t="s">
        <v>168</v>
      </c>
      <c r="C241">
        <v>4</v>
      </c>
    </row>
    <row r="242" spans="1:4" ht="14" x14ac:dyDescent="0.35">
      <c r="A242" s="76">
        <f>Saldobalance!A284</f>
        <v>6905</v>
      </c>
      <c r="B242" s="76" t="str">
        <f>Saldobalance!B284</f>
        <v>Tilgodehavende - kreditorer</v>
      </c>
      <c r="C242">
        <v>2</v>
      </c>
    </row>
    <row r="243" spans="1:4" ht="14" x14ac:dyDescent="0.35">
      <c r="A243" s="76">
        <f>Saldobalance!A285</f>
        <v>6910</v>
      </c>
      <c r="B243" s="76" t="str">
        <f>Saldobalance!B285</f>
        <v>Skyldige omkostninger</v>
      </c>
      <c r="C243">
        <v>2</v>
      </c>
    </row>
    <row r="244" spans="1:4" ht="14" x14ac:dyDescent="0.35">
      <c r="A244" s="76">
        <f>Saldobalance!A286</f>
        <v>6920</v>
      </c>
      <c r="B244" s="76" t="str">
        <f>Saldobalance!B286</f>
        <v>I/S gæld til GEF</v>
      </c>
      <c r="C244">
        <v>2</v>
      </c>
    </row>
    <row r="245" spans="1:4" ht="14" x14ac:dyDescent="0.35">
      <c r="A245" s="77">
        <v>6999</v>
      </c>
      <c r="B245" s="78" t="s">
        <v>171</v>
      </c>
      <c r="C245">
        <v>3</v>
      </c>
      <c r="D245">
        <v>6900</v>
      </c>
    </row>
    <row r="246" spans="1:4" ht="14" x14ac:dyDescent="0.35">
      <c r="A246" s="77">
        <v>7999</v>
      </c>
      <c r="B246" s="78" t="s">
        <v>172</v>
      </c>
      <c r="C246">
        <v>3</v>
      </c>
      <c r="D246">
        <v>6600</v>
      </c>
    </row>
    <row r="247" spans="1:4" ht="14" x14ac:dyDescent="0.35">
      <c r="A247" s="77">
        <v>8999</v>
      </c>
      <c r="B247" s="78" t="s">
        <v>173</v>
      </c>
      <c r="C247">
        <v>6</v>
      </c>
      <c r="D247" t="s">
        <v>174</v>
      </c>
    </row>
    <row r="248" spans="1:4" ht="14" x14ac:dyDescent="0.35">
      <c r="A248" s="76">
        <f>Saldobalance!A290</f>
        <v>9900</v>
      </c>
      <c r="B248" s="76" t="str">
        <f>Saldobalance!B290</f>
        <v>Analyse/fejlkonto</v>
      </c>
      <c r="C248">
        <v>2</v>
      </c>
    </row>
    <row r="249" spans="1:4" ht="14" x14ac:dyDescent="0.35">
      <c r="A249" s="77">
        <v>9990</v>
      </c>
      <c r="B249" s="78" t="s">
        <v>176</v>
      </c>
      <c r="C249">
        <v>3</v>
      </c>
      <c r="D249">
        <v>1000</v>
      </c>
    </row>
  </sheetData>
  <phoneticPr fontId="1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Regnskab og budget</vt:lpstr>
      <vt:lpstr>Budget Renovation</vt:lpstr>
      <vt:lpstr>Afdragsprofil</vt:lpstr>
      <vt:lpstr>Saldobalance</vt:lpstr>
      <vt:lpstr>Budget 16-17 - version 1</vt:lpstr>
      <vt:lpstr>Kontoplan 15.02.15</vt:lpstr>
    </vt:vector>
  </TitlesOfParts>
  <Company>RAMBØLL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</dc:creator>
  <cp:lastModifiedBy>Mikael Rasmussen</cp:lastModifiedBy>
  <cp:lastPrinted>2016-04-05T11:05:33Z</cp:lastPrinted>
  <dcterms:created xsi:type="dcterms:W3CDTF">2005-04-10T13:24:59Z</dcterms:created>
  <dcterms:modified xsi:type="dcterms:W3CDTF">2017-04-04T20:36:31Z</dcterms:modified>
</cp:coreProperties>
</file>