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60"/>
  </bookViews>
  <sheets>
    <sheet name="Vandregnskab " sheetId="5" r:id="rId1"/>
    <sheet name="Antal hoveder" sheetId="9" r:id="rId2"/>
    <sheet name="Aflæsninger" sheetId="7" r:id="rId3"/>
    <sheet name="a conto bofæller" sheetId="2" r:id="rId4"/>
    <sheet name="a conto fælleshuset" sheetId="8" r:id="rId5"/>
  </sheets>
  <calcPr calcId="145621" concurrentCalc="0"/>
</workbook>
</file>

<file path=xl/calcChain.xml><?xml version="1.0" encoding="utf-8"?>
<calcChain xmlns="http://schemas.openxmlformats.org/spreadsheetml/2006/main">
  <c r="D36" i="9" l="1"/>
  <c r="D35" i="9"/>
  <c r="D33" i="9"/>
  <c r="B50" i="5"/>
  <c r="F48" i="5"/>
  <c r="H48" i="5"/>
  <c r="F49" i="5"/>
  <c r="H49" i="5"/>
  <c r="H52" i="5"/>
  <c r="H65" i="5"/>
  <c r="J65" i="5"/>
  <c r="G65" i="5"/>
  <c r="E28" i="7"/>
  <c r="D20" i="7"/>
  <c r="D19" i="7"/>
  <c r="C48" i="5"/>
  <c r="E19" i="7"/>
  <c r="E20" i="7"/>
  <c r="E11" i="7"/>
  <c r="E12" i="7"/>
  <c r="E13" i="7"/>
  <c r="E14" i="7"/>
  <c r="E15" i="7"/>
  <c r="E16" i="7"/>
  <c r="E17" i="7"/>
  <c r="E18" i="7"/>
  <c r="E21" i="7"/>
  <c r="E22" i="7"/>
  <c r="E23" i="7"/>
  <c r="E7" i="7"/>
  <c r="D4" i="5"/>
  <c r="J8" i="5"/>
  <c r="D6" i="7"/>
  <c r="J16" i="8"/>
  <c r="C53" i="5"/>
  <c r="C60" i="5"/>
  <c r="D8" i="9"/>
  <c r="D7" i="9"/>
  <c r="D5" i="9"/>
  <c r="E6" i="7"/>
  <c r="F6" i="7"/>
  <c r="F7" i="7"/>
  <c r="F11" i="7"/>
  <c r="F12" i="7"/>
  <c r="F13" i="7"/>
  <c r="F14" i="7"/>
  <c r="F15" i="7"/>
  <c r="F16" i="7"/>
  <c r="F17" i="7"/>
  <c r="F18" i="7"/>
  <c r="F19" i="7"/>
  <c r="F20" i="7"/>
  <c r="F21" i="7"/>
  <c r="F22" i="7"/>
  <c r="C23" i="7"/>
  <c r="D23" i="7"/>
  <c r="F23" i="7"/>
  <c r="C25" i="7"/>
  <c r="D25" i="7"/>
  <c r="E25" i="7"/>
  <c r="F25" i="7"/>
  <c r="E26" i="7"/>
  <c r="F26" i="7"/>
  <c r="F28" i="7"/>
  <c r="E29" i="7"/>
  <c r="F29" i="7"/>
  <c r="E30" i="7"/>
  <c r="F30" i="7"/>
  <c r="D12" i="9"/>
  <c r="D13" i="9"/>
  <c r="D14" i="9"/>
  <c r="D10" i="9"/>
  <c r="D3" i="9"/>
  <c r="D1" i="9"/>
  <c r="D18" i="9"/>
  <c r="D16" i="9"/>
  <c r="D22" i="9"/>
  <c r="D20" i="9"/>
  <c r="D26" i="9"/>
  <c r="D27" i="9"/>
  <c r="D24" i="9"/>
  <c r="D31" i="9"/>
  <c r="D29" i="9"/>
  <c r="H4" i="5"/>
  <c r="K4" i="5"/>
  <c r="H6" i="5"/>
  <c r="K6" i="5"/>
  <c r="D8" i="5"/>
  <c r="G8" i="5"/>
  <c r="H8" i="5"/>
  <c r="K8" i="5"/>
  <c r="B17" i="5"/>
  <c r="C15" i="5"/>
  <c r="E15" i="5"/>
  <c r="F14" i="5"/>
  <c r="G14" i="5"/>
  <c r="H14" i="5"/>
  <c r="I14" i="5"/>
  <c r="F15" i="5"/>
  <c r="G15" i="5"/>
  <c r="H15" i="5"/>
  <c r="I15" i="5"/>
  <c r="J15" i="5"/>
  <c r="F16" i="5"/>
  <c r="G16" i="5"/>
  <c r="H16" i="5"/>
  <c r="I16" i="5"/>
  <c r="C19" i="5"/>
  <c r="E19" i="5"/>
  <c r="B21" i="5"/>
  <c r="F18" i="5"/>
  <c r="G18" i="5"/>
  <c r="H18" i="5"/>
  <c r="I18" i="5"/>
  <c r="F19" i="5"/>
  <c r="G19" i="5"/>
  <c r="H19" i="5"/>
  <c r="I19" i="5"/>
  <c r="J19" i="5"/>
  <c r="F20" i="5"/>
  <c r="G20" i="5"/>
  <c r="H20" i="5"/>
  <c r="I20" i="5"/>
  <c r="C22" i="5"/>
  <c r="E22" i="5"/>
  <c r="B24" i="5"/>
  <c r="F22" i="5"/>
  <c r="G22" i="5"/>
  <c r="H22" i="5"/>
  <c r="I22" i="5"/>
  <c r="J22" i="5"/>
  <c r="F23" i="5"/>
  <c r="G23" i="5"/>
  <c r="H23" i="5"/>
  <c r="I23" i="5"/>
  <c r="B28" i="5"/>
  <c r="C26" i="5"/>
  <c r="E26" i="5"/>
  <c r="F25" i="5"/>
  <c r="G25" i="5"/>
  <c r="H25" i="5"/>
  <c r="I25" i="5"/>
  <c r="F26" i="5"/>
  <c r="G26" i="5"/>
  <c r="H26" i="5"/>
  <c r="I26" i="5"/>
  <c r="J26" i="5"/>
  <c r="F27" i="5"/>
  <c r="G27" i="5"/>
  <c r="H27" i="5"/>
  <c r="I27" i="5"/>
  <c r="C30" i="5"/>
  <c r="E30" i="5"/>
  <c r="B32" i="5"/>
  <c r="F29" i="5"/>
  <c r="G29" i="5"/>
  <c r="H29" i="5"/>
  <c r="I29" i="5"/>
  <c r="F30" i="5"/>
  <c r="G30" i="5"/>
  <c r="H30" i="5"/>
  <c r="I30" i="5"/>
  <c r="J30" i="5"/>
  <c r="F31" i="5"/>
  <c r="G31" i="5"/>
  <c r="H31" i="5"/>
  <c r="I31" i="5"/>
  <c r="C34" i="5"/>
  <c r="E34" i="5"/>
  <c r="B36" i="5"/>
  <c r="F33" i="5"/>
  <c r="G33" i="5"/>
  <c r="H33" i="5"/>
  <c r="I33" i="5"/>
  <c r="F34" i="5"/>
  <c r="G34" i="5"/>
  <c r="H34" i="5"/>
  <c r="I34" i="5"/>
  <c r="J34" i="5"/>
  <c r="F35" i="5"/>
  <c r="G35" i="5"/>
  <c r="H35" i="5"/>
  <c r="I35" i="5"/>
  <c r="C38" i="5"/>
  <c r="E38" i="5"/>
  <c r="B40" i="5"/>
  <c r="F37" i="5"/>
  <c r="G37" i="5"/>
  <c r="H37" i="5"/>
  <c r="I37" i="5"/>
  <c r="F38" i="5"/>
  <c r="G38" i="5"/>
  <c r="H38" i="5"/>
  <c r="I38" i="5"/>
  <c r="J38" i="5"/>
  <c r="F39" i="5"/>
  <c r="G39" i="5"/>
  <c r="H39" i="5"/>
  <c r="I39" i="5"/>
  <c r="C42" i="5"/>
  <c r="E42" i="5"/>
  <c r="B44" i="5"/>
  <c r="F41" i="5"/>
  <c r="G41" i="5"/>
  <c r="H41" i="5"/>
  <c r="I41" i="5"/>
  <c r="F42" i="5"/>
  <c r="G42" i="5"/>
  <c r="H42" i="5"/>
  <c r="I42" i="5"/>
  <c r="J42" i="5"/>
  <c r="F43" i="5"/>
  <c r="G43" i="5"/>
  <c r="H43" i="5"/>
  <c r="I43" i="5"/>
  <c r="C45" i="5"/>
  <c r="D45" i="5"/>
  <c r="B47" i="5"/>
  <c r="F45" i="5"/>
  <c r="G45" i="5"/>
  <c r="H45" i="5"/>
  <c r="I45" i="5"/>
  <c r="J45" i="5"/>
  <c r="C46" i="5"/>
  <c r="F46" i="5"/>
  <c r="G46" i="5"/>
  <c r="H46" i="5"/>
  <c r="I46" i="5"/>
  <c r="J46" i="5"/>
  <c r="D48" i="5"/>
  <c r="E48" i="5"/>
  <c r="G48" i="5"/>
  <c r="I48" i="5"/>
  <c r="J48" i="5"/>
  <c r="G49" i="5"/>
  <c r="I49" i="5"/>
  <c r="C52" i="5"/>
  <c r="E52" i="5"/>
  <c r="G52" i="5"/>
  <c r="E53" i="5"/>
  <c r="C54" i="5"/>
  <c r="E54" i="5"/>
  <c r="C55" i="5"/>
  <c r="E55" i="5"/>
  <c r="C56" i="5"/>
  <c r="E56" i="5"/>
  <c r="E60" i="5"/>
  <c r="E61" i="5"/>
  <c r="H61" i="5"/>
  <c r="C62" i="5"/>
  <c r="E62" i="5"/>
  <c r="G62" i="5"/>
  <c r="H62" i="5"/>
  <c r="I62" i="5"/>
</calcChain>
</file>

<file path=xl/sharedStrings.xml><?xml version="1.0" encoding="utf-8"?>
<sst xmlns="http://schemas.openxmlformats.org/spreadsheetml/2006/main" count="296" uniqueCount="172">
  <si>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</si>
  <si>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</si>
  <si>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</si>
  <si>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</si>
  <si>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</si>
  <si>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</si>
  <si>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</si>
  <si>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</si>
  <si>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</si>
  <si>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</si>
  <si>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</si>
  <si>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</si>
  <si>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</si>
  <si>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</si>
  <si>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</si>
  <si>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</si>
  <si>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</si>
  <si>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</si>
  <si>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</si>
  <si>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</si>
  <si>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</si>
  <si>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</si>
  <si>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</si>
  <si>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personer</t>
  </si>
  <si>
    <t>Antal</t>
  </si>
  <si>
    <r>
      <t>m</t>
    </r>
    <r>
      <rPr>
        <vertAlign val="superscript"/>
        <sz val="10"/>
        <rFont val="Arial"/>
        <family val="2"/>
      </rPr>
      <t>3</t>
    </r>
  </si>
  <si>
    <t>kr.</t>
  </si>
  <si>
    <t>Hus nr.</t>
  </si>
  <si>
    <t>A cto.</t>
  </si>
  <si>
    <t>Vandforbrug</t>
  </si>
  <si>
    <t>pr. hus</t>
  </si>
  <si>
    <t>Total udgift:</t>
  </si>
  <si>
    <t>årlig.</t>
  </si>
  <si>
    <t>i alt</t>
  </si>
  <si>
    <t>m3</t>
  </si>
  <si>
    <t>kr</t>
  </si>
  <si>
    <t>Totalt for husstande</t>
  </si>
  <si>
    <t>Totalt for fælleshus</t>
  </si>
  <si>
    <r>
      <t>gruppe</t>
    </r>
    <r>
      <rPr>
        <sz val="7"/>
        <rFont val="Arial"/>
        <family val="2"/>
      </rPr>
      <t xml:space="preserve"> </t>
    </r>
  </si>
  <si>
    <t>gruppe</t>
  </si>
  <si>
    <t xml:space="preserve"> Opkrævet af kommunen</t>
  </si>
  <si>
    <r>
      <t xml:space="preserve"> Beregnet pris i kr/m</t>
    </r>
    <r>
      <rPr>
        <vertAlign val="superscript"/>
        <sz val="10"/>
        <rFont val="Arial"/>
        <family val="2"/>
      </rPr>
      <t>3</t>
    </r>
  </si>
  <si>
    <t>Bimålere i alt</t>
  </si>
  <si>
    <t>Kontrol</t>
  </si>
  <si>
    <t>Indbetalt</t>
  </si>
  <si>
    <t xml:space="preserve">A conto </t>
  </si>
  <si>
    <t>næste år</t>
  </si>
  <si>
    <t>per GEF</t>
  </si>
  <si>
    <r>
      <t>Totalt antal m</t>
    </r>
    <r>
      <rPr>
        <vertAlign val="superscript"/>
        <sz val="10"/>
        <rFont val="Arial"/>
        <family val="2"/>
      </rPr>
      <t>3</t>
    </r>
  </si>
  <si>
    <r>
      <t>A conto-m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-pris:</t>
    </r>
  </si>
  <si>
    <t>Sidste år</t>
  </si>
  <si>
    <t>Ændring</t>
  </si>
  <si>
    <t>Difference</t>
  </si>
  <si>
    <t>Regulering</t>
  </si>
  <si>
    <t>Betaling</t>
  </si>
  <si>
    <t>Med tillæg for varmt vand fra Hus 26</t>
  </si>
  <si>
    <t xml:space="preserve"> Aflæsningerne eksl. Grønt vand</t>
  </si>
  <si>
    <t>Aflæsning</t>
  </si>
  <si>
    <t>Forbrug/dag</t>
  </si>
  <si>
    <t>Hovedmåler</t>
  </si>
  <si>
    <t>Grønt vand</t>
  </si>
  <si>
    <t>Fyrgrupper</t>
  </si>
  <si>
    <t>1 til 3</t>
  </si>
  <si>
    <t>4 til 6</t>
  </si>
  <si>
    <t>7 til 8</t>
  </si>
  <si>
    <t>9 til 11</t>
  </si>
  <si>
    <t>12 til 14</t>
  </si>
  <si>
    <t>15 til 17</t>
  </si>
  <si>
    <t>18 til 20</t>
  </si>
  <si>
    <t>21 til 23</t>
  </si>
  <si>
    <t>26 inkl. Grønt vand</t>
  </si>
  <si>
    <t>I alt bimålere</t>
  </si>
  <si>
    <t>26 eksl. grønt vand</t>
  </si>
  <si>
    <t>Bruges til afregningen minus varmt vand til hus 24-25</t>
  </si>
  <si>
    <t>Varmt vand Hus 24-25</t>
  </si>
  <si>
    <t>Lægges til Hus 24-25 og trækkes fra Hus 26s forbrug</t>
  </si>
  <si>
    <t>Målt "privatforbrug"</t>
  </si>
  <si>
    <t>Gennemsnit fyrgrupper (minus 7-8)</t>
  </si>
  <si>
    <t>bakken27</t>
  </si>
  <si>
    <t>per</t>
  </si>
  <si>
    <t>person</t>
  </si>
  <si>
    <t>Næste år</t>
  </si>
  <si>
    <t>Vaskeri</t>
  </si>
  <si>
    <t>Fælleshus rent</t>
  </si>
  <si>
    <t>304714 - Bofællesskabet Bakken I/S</t>
  </si>
  <si>
    <t>Type</t>
  </si>
  <si>
    <t>Dato</t>
  </si>
  <si>
    <t>Bilag</t>
  </si>
  <si>
    <t>Tekst</t>
  </si>
  <si>
    <t>Moms</t>
  </si>
  <si>
    <t>Valuta</t>
  </si>
  <si>
    <t>Systempostering</t>
  </si>
  <si>
    <t>Fælleshusets vand a conto</t>
  </si>
  <si>
    <t>Gruppe</t>
  </si>
  <si>
    <t>Nr.</t>
  </si>
  <si>
    <t>Navn</t>
  </si>
  <si>
    <t>Omsætning</t>
  </si>
  <si>
    <t>Omkostninger</t>
  </si>
  <si>
    <t>Bruttofortj.</t>
  </si>
  <si>
    <t>Bruttofortj. i %</t>
  </si>
  <si>
    <t>Vand</t>
  </si>
  <si>
    <t>Vand a conto - Hus 1</t>
  </si>
  <si>
    <t>Vand a conto - Hus 2</t>
  </si>
  <si>
    <t>Vand a conto - Hus 3</t>
  </si>
  <si>
    <t>Vand a conto - Hus 4</t>
  </si>
  <si>
    <t>Vand a conto - Hus 5</t>
  </si>
  <si>
    <t>Vand a conto - Hus 6</t>
  </si>
  <si>
    <t>Vand a conto - Hus 7</t>
  </si>
  <si>
    <t>Vand a conto - Hus 8</t>
  </si>
  <si>
    <t>Vand a conto - Hus 9</t>
  </si>
  <si>
    <t>Vand a conto - Hus 10</t>
  </si>
  <si>
    <t>Vand a conto - Hus 11</t>
  </si>
  <si>
    <t>Vand a conto - Hus 12</t>
  </si>
  <si>
    <t>Vand a conto - Hus 13</t>
  </si>
  <si>
    <t>Vand a conto - Hus 14</t>
  </si>
  <si>
    <t>Vand a conto - Hus 15</t>
  </si>
  <si>
    <t>Vand a conto - Hus 16</t>
  </si>
  <si>
    <t>Vand a conto - Hus 17</t>
  </si>
  <si>
    <t>Vand a conto - Hus 18</t>
  </si>
  <si>
    <t>Vand a conto - Hus 19</t>
  </si>
  <si>
    <t>Vand a conto - Hus 20</t>
  </si>
  <si>
    <t>Vand a conto - Hus 21</t>
  </si>
  <si>
    <t>Vand a conto - Hus 22</t>
  </si>
  <si>
    <t>Vand a conto - Hus 23</t>
  </si>
  <si>
    <t>Vand a conto - Hus 24</t>
  </si>
  <si>
    <t>Vand a conto - Hus 25</t>
  </si>
  <si>
    <t>Vand a conto - Hus 26A</t>
  </si>
  <si>
    <t>Vand a conto - Hus 26C</t>
  </si>
  <si>
    <t>Total:</t>
  </si>
  <si>
    <t>Tallene tages fra årets vaskeriregnskab</t>
  </si>
  <si>
    <t>Fra</t>
  </si>
  <si>
    <t>Til</t>
  </si>
  <si>
    <t>Snit</t>
  </si>
  <si>
    <t>I år</t>
  </si>
  <si>
    <t>Vandforbrug 1. januar til den 31. december</t>
  </si>
  <si>
    <t>Hovedmåler - bimålere (Diff)</t>
  </si>
  <si>
    <t>Forbrug</t>
  </si>
  <si>
    <t>Kundenr</t>
  </si>
  <si>
    <t>Målernr</t>
  </si>
  <si>
    <t>Rapporter » Kunder »</t>
  </si>
  <si>
    <t>Rapporter » Regnskab</t>
  </si>
  <si>
    <t>Konto</t>
  </si>
  <si>
    <t>Beløb</t>
  </si>
  <si>
    <t>Saldo</t>
  </si>
  <si>
    <t>Varmt</t>
  </si>
  <si>
    <t>vand</t>
  </si>
  <si>
    <t>26 st</t>
  </si>
  <si>
    <t>26 1.</t>
  </si>
  <si>
    <t>Minus varmt vand til Hus 24 og 25</t>
  </si>
  <si>
    <t xml:space="preserve"> over 3 år</t>
  </si>
  <si>
    <t>Hus 6</t>
  </si>
  <si>
    <t>Hus 15</t>
  </si>
  <si>
    <t> </t>
  </si>
  <si>
    <t xml:space="preserve">Vand </t>
  </si>
  <si>
    <t>Vand  i alt:</t>
  </si>
  <si>
    <t>Katrine fylder 3 år d. 12/2 2018</t>
  </si>
  <si>
    <t xml:space="preserve">Esther fyldte 3 år d. 26/3 2016 </t>
  </si>
  <si>
    <t>Hus 18</t>
  </si>
  <si>
    <t xml:space="preserve">Thor fyldte 3 år d. 27/7 2016 </t>
  </si>
  <si>
    <t>Hus 20</t>
  </si>
  <si>
    <t>Hus 14</t>
  </si>
  <si>
    <t>Hus 11</t>
  </si>
  <si>
    <t>Vandregnskab 2017</t>
  </si>
  <si>
    <t>Differens mellem totalforbrug og registreret forbrug fra bimålerne fordeles ud på alle 27 husstande via m3-prisen</t>
  </si>
  <si>
    <t>Fælleshus totalt:</t>
  </si>
  <si>
    <t/>
  </si>
  <si>
    <t>Posteringer for perioden 01.01.17 - 31.12.17</t>
  </si>
  <si>
    <t>Omsætningsstatistik for varer - perioden 01.01.17 - 31.12.17 - (enheder  Alle)</t>
  </si>
  <si>
    <t>Måler skiftet juli 2017. Gl. målerstand 358, ny 11, i alt 369</t>
  </si>
  <si>
    <t>Måler skiftet juli 2017. Gl. målerstand 190, ny 13, i alt 203</t>
  </si>
  <si>
    <t>Hus 26, 1.</t>
  </si>
  <si>
    <t>Hus 26,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</si>
</sst>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%"/>
    <numFmt numFmtId="166" formatCode="dd\-mm\-yyyy"/>
  </numFmts>
  <fonts count="14" x14ac:knownFonts="1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2" borderId="0" xfId="0" applyFont="1" applyFill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quotePrefix="1"/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/>
    <xf numFmtId="0" fontId="2" fillId="0" borderId="0" xfId="0" applyFont="1"/>
    <xf numFmtId="2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0" fillId="0" borderId="3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0" fillId="0" borderId="0" xfId="0" applyNumberFormat="1"/>
    <xf numFmtId="0" fontId="0" fillId="0" borderId="4" xfId="0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/>
    <xf numFmtId="2" fontId="0" fillId="0" borderId="0" xfId="0" applyNumberFormat="1"/>
    <xf numFmtId="4" fontId="0" fillId="0" borderId="2" xfId="0" applyNumberFormat="1" applyFill="1" applyBorder="1" applyAlignment="1"/>
    <xf numFmtId="14" fontId="0" fillId="0" borderId="0" xfId="0" applyNumberFormat="1"/>
    <xf numFmtId="0" fontId="0" fillId="0" borderId="5" xfId="0" applyFill="1" applyBorder="1" applyAlignment="1"/>
    <xf numFmtId="3" fontId="0" fillId="0" borderId="5" xfId="0" applyNumberFormat="1" applyFill="1" applyBorder="1" applyAlignment="1"/>
    <xf numFmtId="4" fontId="0" fillId="0" borderId="5" xfId="0" applyNumberFormat="1" applyFill="1" applyBorder="1" applyAlignment="1"/>
    <xf numFmtId="4" fontId="0" fillId="0" borderId="0" xfId="0" applyNumberFormat="1"/>
    <xf numFmtId="1" fontId="0" fillId="0" borderId="0" xfId="0" applyNumberFormat="1"/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" fontId="5" fillId="0" borderId="4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/>
    <xf numFmtId="3" fontId="2" fillId="0" borderId="5" xfId="0" applyNumberFormat="1" applyFont="1" applyFill="1" applyBorder="1" applyAlignment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2" xfId="0" applyBorder="1"/>
    <xf numFmtId="49" fontId="0" fillId="0" borderId="0" xfId="0" applyNumberFormat="1" applyAlignment="1">
      <alignment wrapText="1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Protection="1">
      <protection locked="0"/>
    </xf>
    <xf numFmtId="14" fontId="11" fillId="0" borderId="0" xfId="0" applyNumberFormat="1" applyFont="1" applyAlignment="1">
      <alignment wrapText="1"/>
    </xf>
    <xf numFmtId="1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wrapText="1"/>
    </xf>
    <xf numFmtId="2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2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10" fontId="12" fillId="0" borderId="0" xfId="0" applyNumberFormat="1" applyFont="1"/>
    <xf numFmtId="0" fontId="12" fillId="0" borderId="0" xfId="0" applyFont="1"/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" fontId="13" fillId="0" borderId="0" xfId="0" applyNumberFormat="1" applyFont="1"/>
    <xf numFmtId="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3" fontId="2" fillId="3" borderId="0" xfId="0" applyNumberFormat="1" applyFont="1" applyFill="1" applyBorder="1" applyAlignment="1" applyProtection="1">
      <protection locked="0"/>
    </xf>
    <xf numFmtId="3" fontId="2" fillId="3" borderId="4" xfId="0" applyNumberFormat="1" applyFont="1" applyFill="1" applyBorder="1" applyAlignment="1" applyProtection="1">
      <protection locked="0"/>
    </xf>
    <xf numFmtId="3" fontId="2" fillId="3" borderId="5" xfId="0" applyNumberFormat="1" applyFont="1" applyFill="1" applyBorder="1" applyAlignment="1"/>
    <xf numFmtId="0" fontId="2" fillId="3" borderId="0" xfId="0" applyFont="1" applyFill="1"/>
    <xf numFmtId="3" fontId="2" fillId="3" borderId="0" xfId="0" applyNumberFormat="1" applyFont="1" applyFill="1"/>
    <xf numFmtId="0" fontId="2" fillId="3" borderId="0" xfId="0" applyFont="1" applyFill="1" applyProtection="1">
      <protection locked="0"/>
    </xf>
    <xf numFmtId="0" fontId="13" fillId="0" borderId="0" xfId="0" applyFont="1"/>
    <xf numFmtId="2" fontId="13" fillId="0" borderId="0" xfId="0" applyNumberFormat="1" applyFont="1"/>
    <xf numFmtId="14" fontId="12" fillId="0" borderId="0" xfId="0" applyNumberFormat="1" applyFont="1"/>
    <xf numFmtId="2" fontId="12" fillId="0" borderId="0" xfId="0" applyNumberFormat="1" applyFont="1"/>
    <xf numFmtId="14" fontId="5" fillId="0" borderId="0" xfId="0" applyNumberFormat="1" applyFont="1"/>
    <xf numFmtId="2" fontId="5" fillId="0" borderId="0" xfId="0" applyNumberFormat="1" applyFont="1"/>
    <xf numFmtId="0" fontId="1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/>
    <xf numFmtId="3" fontId="2" fillId="0" borderId="0" xfId="0" applyNumberFormat="1" applyFont="1"/>
    <xf numFmtId="3" fontId="5" fillId="0" borderId="4" xfId="0" applyNumberFormat="1" applyFont="1" applyFill="1" applyBorder="1" applyAlignment="1"/>
    <xf numFmtId="3" fontId="6" fillId="0" borderId="6" xfId="0" applyNumberFormat="1" applyFont="1" applyBorder="1"/>
    <xf numFmtId="3" fontId="6" fillId="0" borderId="0" xfId="0" applyNumberFormat="1" applyFont="1"/>
    <xf numFmtId="14" fontId="2" fillId="0" borderId="0" xfId="0" applyNumberFormat="1" applyFont="1"/>
    <xf numFmtId="3" fontId="2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90" workbookViewId="0">
      <pane ySplit="13" topLeftCell="A17" activePane="bottomLeft" state="frozen"/>
      <selection pane="bottomLeft" activeCell="M24" sqref="M24"/>
    </sheetView>
  </sheetViews>
  <sheetFormatPr defaultRowHeight="12.75" x14ac:dyDescent="0.2"/>
  <cols>
    <col min="3" max="3" width="10.7109375" bestFit="1" customWidth="1"/>
    <col min="4" max="4" width="8.7109375" customWidth="1"/>
    <col min="5" max="5" width="20" style="21" customWidth="1"/>
    <col min="6" max="6" width="11.7109375" bestFit="1" customWidth="1"/>
    <col min="7" max="7" width="9.28515625" customWidth="1"/>
    <col min="8" max="8" width="10.7109375" customWidth="1"/>
    <col min="10" max="10" width="10.7109375" bestFit="1" customWidth="1"/>
    <col min="11" max="11" width="8.5703125" customWidth="1"/>
  </cols>
  <sheetData>
    <row r="1" spans="1:11" ht="18" x14ac:dyDescent="0.25">
      <c r="A1" s="18" t="s">
        <v>162</v>
      </c>
    </row>
    <row r="2" spans="1:11" x14ac:dyDescent="0.2">
      <c r="D2" s="1" t="s">
        <v>133</v>
      </c>
      <c r="G2" s="1" t="s">
        <v>50</v>
      </c>
      <c r="H2" s="1" t="s">
        <v>51</v>
      </c>
      <c r="J2" t="s">
        <v>81</v>
      </c>
      <c r="K2" s="1" t="s">
        <v>51</v>
      </c>
    </row>
    <row r="4" spans="1:11" ht="14.25" x14ac:dyDescent="0.2">
      <c r="A4" s="36" t="s">
        <v>48</v>
      </c>
      <c r="B4" s="36"/>
      <c r="C4" s="19"/>
      <c r="D4" s="72">
        <f>Aflæsninger!E28</f>
        <v>2573</v>
      </c>
      <c r="E4" s="21" t="s">
        <v>56</v>
      </c>
      <c r="G4" s="47">
        <v>2699</v>
      </c>
      <c r="H4" s="42">
        <f>($D4-$G4)/$G4</f>
        <v>-4.6683957021118931E-2</v>
      </c>
      <c r="J4" s="140">
        <v>2582</v>
      </c>
      <c r="K4" s="108">
        <f>($J4-$G4)/$D4</f>
        <v>-4.5472211426350564E-2</v>
      </c>
    </row>
    <row r="5" spans="1:11" x14ac:dyDescent="0.2">
      <c r="A5" s="36"/>
      <c r="B5" s="36"/>
      <c r="C5" s="19"/>
      <c r="D5" s="6"/>
      <c r="G5" s="6"/>
      <c r="K5" s="109"/>
    </row>
    <row r="6" spans="1:11" x14ac:dyDescent="0.2">
      <c r="A6" s="36" t="s">
        <v>31</v>
      </c>
      <c r="B6" s="36"/>
      <c r="C6" s="19"/>
      <c r="D6" s="140">
        <v>144816.32999999999</v>
      </c>
      <c r="E6" s="31" t="s">
        <v>40</v>
      </c>
      <c r="G6" s="47">
        <v>159366</v>
      </c>
      <c r="H6" s="42">
        <f>($D6-$G6)/$G6</f>
        <v>-9.1297202665562377E-2</v>
      </c>
      <c r="J6" s="140">
        <v>144872.26</v>
      </c>
      <c r="K6" s="108">
        <f>($J6-$G6)/$D6</f>
        <v>-0.10008360245008274</v>
      </c>
    </row>
    <row r="7" spans="1:11" x14ac:dyDescent="0.2">
      <c r="A7" s="142"/>
      <c r="B7" s="142"/>
      <c r="C7" s="3"/>
      <c r="E7" s="5"/>
      <c r="I7" s="3"/>
      <c r="J7" s="3"/>
      <c r="K7" s="109"/>
    </row>
    <row r="8" spans="1:11" ht="14.25" x14ac:dyDescent="0.2">
      <c r="A8" s="36" t="s">
        <v>49</v>
      </c>
      <c r="B8" s="36"/>
      <c r="C8" s="19"/>
      <c r="D8" s="44">
        <f>D6/D4</f>
        <v>56.283066459385928</v>
      </c>
      <c r="E8" s="21" t="s">
        <v>41</v>
      </c>
      <c r="G8" s="44">
        <f>G6/G4</f>
        <v>59.04631344942571</v>
      </c>
      <c r="H8" s="42">
        <f>($D8-$G8)/$G8</f>
        <v>-4.6797959578061647E-2</v>
      </c>
      <c r="J8" s="44">
        <f>J6/J4</f>
        <v>56.108543764523631</v>
      </c>
      <c r="K8" s="108">
        <f>($J8-$G8)/$D8</f>
        <v>-5.2196333101750682E-2</v>
      </c>
    </row>
    <row r="9" spans="1:11" x14ac:dyDescent="0.2">
      <c r="A9" s="3"/>
      <c r="B9" s="3"/>
      <c r="C9" s="3"/>
    </row>
    <row r="10" spans="1:11" x14ac:dyDescent="0.2">
      <c r="A10" s="3"/>
      <c r="B10" s="3"/>
      <c r="C10" s="3"/>
      <c r="G10" t="s">
        <v>44</v>
      </c>
      <c r="H10" s="21"/>
    </row>
    <row r="11" spans="1:11" x14ac:dyDescent="0.2">
      <c r="A11" s="7"/>
      <c r="B11" s="8" t="s">
        <v>24</v>
      </c>
      <c r="C11" s="8" t="s">
        <v>29</v>
      </c>
      <c r="D11" s="26" t="s">
        <v>144</v>
      </c>
      <c r="E11" s="30" t="s">
        <v>29</v>
      </c>
      <c r="F11" s="8" t="s">
        <v>29</v>
      </c>
      <c r="G11" s="8" t="s">
        <v>28</v>
      </c>
      <c r="H11" s="30" t="s">
        <v>53</v>
      </c>
      <c r="I11" s="8" t="s">
        <v>45</v>
      </c>
      <c r="J11" s="8" t="s">
        <v>29</v>
      </c>
    </row>
    <row r="12" spans="1:11" x14ac:dyDescent="0.2">
      <c r="A12" s="7"/>
      <c r="B12" s="8" t="s">
        <v>23</v>
      </c>
      <c r="C12" s="26" t="s">
        <v>38</v>
      </c>
      <c r="D12" s="26" t="s">
        <v>145</v>
      </c>
      <c r="E12" s="30" t="s">
        <v>39</v>
      </c>
      <c r="F12" s="8" t="s">
        <v>30</v>
      </c>
      <c r="G12" s="8" t="s">
        <v>32</v>
      </c>
      <c r="H12" s="30" t="s">
        <v>54</v>
      </c>
      <c r="I12" s="8" t="s">
        <v>47</v>
      </c>
      <c r="J12" s="8" t="s">
        <v>79</v>
      </c>
    </row>
    <row r="13" spans="1:11" ht="14.25" x14ac:dyDescent="0.2">
      <c r="A13" s="8" t="s">
        <v>27</v>
      </c>
      <c r="B13" s="8" t="s">
        <v>149</v>
      </c>
      <c r="C13" s="8" t="s">
        <v>25</v>
      </c>
      <c r="D13" s="8"/>
      <c r="E13" s="30" t="s">
        <v>26</v>
      </c>
      <c r="F13" s="8" t="s">
        <v>26</v>
      </c>
      <c r="G13" s="8" t="s">
        <v>26</v>
      </c>
      <c r="H13" s="30"/>
      <c r="I13" s="8" t="s">
        <v>46</v>
      </c>
      <c r="J13" s="8" t="s">
        <v>80</v>
      </c>
    </row>
    <row r="14" spans="1:11" x14ac:dyDescent="0.2">
      <c r="A14" s="2" t="s">
        <v>0</v>
      </c>
      <c r="B14" s="81">
        <v>4</v>
      </c>
      <c r="C14" s="3"/>
      <c r="D14" s="5"/>
      <c r="E14" s="5"/>
      <c r="F14" s="5">
        <f>$E$15/$B$17*B14</f>
        <v>8977.1491002720559</v>
      </c>
      <c r="G14" s="5">
        <f>'a conto bofæller'!E7</f>
        <v>8988</v>
      </c>
      <c r="H14" s="5">
        <f>F14-G14</f>
        <v>-10.850899727944125</v>
      </c>
      <c r="I14" s="5">
        <f>(F14)/6*(1+K$8)</f>
        <v>1418.0958059216957</v>
      </c>
      <c r="J14" s="5"/>
    </row>
    <row r="15" spans="1:11" x14ac:dyDescent="0.2">
      <c r="A15" s="2" t="s">
        <v>1</v>
      </c>
      <c r="B15" s="81">
        <v>1</v>
      </c>
      <c r="C15" s="35">
        <f>Aflæsninger!E11</f>
        <v>319</v>
      </c>
      <c r="D15" s="5"/>
      <c r="E15" s="5">
        <f>(C15*$D$8)</f>
        <v>17954.298200544112</v>
      </c>
      <c r="F15" s="5">
        <f>$E$15/$B$17*B15</f>
        <v>2244.287275068014</v>
      </c>
      <c r="G15" s="5">
        <f>'a conto bofæller'!E8</f>
        <v>2250</v>
      </c>
      <c r="H15" s="5">
        <f>F15-G15</f>
        <v>-5.7127249319860312</v>
      </c>
      <c r="I15" s="5">
        <f t="shared" ref="I15:I49" si="0">(F15)/6*(1+K$8)</f>
        <v>354.52395148042393</v>
      </c>
      <c r="J15" s="5">
        <f>C15/B17</f>
        <v>39.875</v>
      </c>
    </row>
    <row r="16" spans="1:11" x14ac:dyDescent="0.2">
      <c r="A16" s="2" t="s">
        <v>2</v>
      </c>
      <c r="B16" s="82">
        <v>3</v>
      </c>
      <c r="C16" s="3"/>
      <c r="D16" s="5"/>
      <c r="E16" s="5"/>
      <c r="F16" s="5">
        <f>$E$15/$B$17*B16</f>
        <v>6732.8618252040415</v>
      </c>
      <c r="G16" s="16">
        <f>'a conto bofæller'!E9</f>
        <v>6781</v>
      </c>
      <c r="H16" s="16">
        <f>F16-G16</f>
        <v>-48.138174795958548</v>
      </c>
      <c r="I16" s="16">
        <f t="shared" si="0"/>
        <v>1063.5718544412719</v>
      </c>
      <c r="J16" s="16"/>
    </row>
    <row r="17" spans="1:10" x14ac:dyDescent="0.2">
      <c r="A17" s="9" t="s">
        <v>33</v>
      </c>
      <c r="B17" s="25">
        <f>SUM(B14:B16)</f>
        <v>8</v>
      </c>
      <c r="C17" s="10"/>
      <c r="D17" s="11"/>
      <c r="E17" s="11"/>
      <c r="F17" s="11"/>
      <c r="G17" s="5" t="s">
        <v>3</v>
      </c>
      <c r="H17" s="5"/>
      <c r="I17" s="5"/>
      <c r="J17" s="5"/>
    </row>
    <row r="18" spans="1:10" x14ac:dyDescent="0.2">
      <c r="A18" s="12" t="s">
        <v>4</v>
      </c>
      <c r="B18" s="81">
        <v>2</v>
      </c>
      <c r="C18" s="46"/>
      <c r="D18" s="14"/>
      <c r="E18" s="14"/>
      <c r="F18" s="5">
        <f>$E$19/$B$21*B18</f>
        <v>3425.2266159569149</v>
      </c>
      <c r="G18" s="5">
        <f>'a conto bofæller'!E10</f>
        <v>3551</v>
      </c>
      <c r="H18" s="5">
        <f>F18-G18</f>
        <v>-125.77338404308512</v>
      </c>
      <c r="I18" s="5">
        <f t="shared" si="0"/>
        <v>541.07372442690757</v>
      </c>
      <c r="J18" s="5"/>
    </row>
    <row r="19" spans="1:10" x14ac:dyDescent="0.2">
      <c r="A19" s="12" t="s">
        <v>5</v>
      </c>
      <c r="B19" s="81">
        <v>2</v>
      </c>
      <c r="C19" s="68">
        <f>Aflæsninger!E12</f>
        <v>213</v>
      </c>
      <c r="D19" s="5"/>
      <c r="E19" s="14">
        <f>C19*$D$8</f>
        <v>11988.293155849202</v>
      </c>
      <c r="F19" s="5">
        <f>$E$19/$B$21*B19</f>
        <v>3425.2266159569149</v>
      </c>
      <c r="G19" s="5">
        <f>'a conto bofæller'!E11</f>
        <v>3303</v>
      </c>
      <c r="H19" s="5">
        <f>F19-G19</f>
        <v>122.22661595691488</v>
      </c>
      <c r="I19" s="5">
        <f t="shared" si="0"/>
        <v>541.07372442690757</v>
      </c>
      <c r="J19" s="5">
        <f>C19/B21</f>
        <v>30.428571428571427</v>
      </c>
    </row>
    <row r="20" spans="1:10" x14ac:dyDescent="0.2">
      <c r="A20" s="15" t="s">
        <v>6</v>
      </c>
      <c r="B20" s="82">
        <v>3</v>
      </c>
      <c r="C20" s="45"/>
      <c r="D20" s="16"/>
      <c r="E20" s="16"/>
      <c r="F20" s="16">
        <f>$E$19/$B$21*B20</f>
        <v>5137.8399239353721</v>
      </c>
      <c r="G20" s="16">
        <f>'a conto bofæller'!E12</f>
        <v>4956</v>
      </c>
      <c r="H20" s="16">
        <f>F20-G20</f>
        <v>181.8399239353721</v>
      </c>
      <c r="I20" s="16">
        <f t="shared" si="0"/>
        <v>811.61058664036136</v>
      </c>
      <c r="J20" s="16"/>
    </row>
    <row r="21" spans="1:10" x14ac:dyDescent="0.2">
      <c r="A21" s="2" t="s">
        <v>33</v>
      </c>
      <c r="B21" s="25">
        <f>SUM(B18:B20)</f>
        <v>7</v>
      </c>
      <c r="C21" s="4"/>
      <c r="D21" s="5"/>
      <c r="E21" s="5"/>
      <c r="F21" s="5"/>
      <c r="G21" s="5"/>
      <c r="H21" s="5"/>
      <c r="I21" s="5"/>
      <c r="J21" s="5"/>
    </row>
    <row r="22" spans="1:10" x14ac:dyDescent="0.2">
      <c r="A22" s="2" t="s">
        <v>7</v>
      </c>
      <c r="B22" s="81">
        <v>2</v>
      </c>
      <c r="C22" s="35">
        <f>Aflæsninger!E13</f>
        <v>166</v>
      </c>
      <c r="D22" s="5"/>
      <c r="E22" s="5">
        <f>C22*$D$8</f>
        <v>9342.989032258065</v>
      </c>
      <c r="F22" s="5">
        <f>$E$22/$B$24*B22</f>
        <v>3737.195612903226</v>
      </c>
      <c r="G22" s="5">
        <f>'a conto bofæller'!E13</f>
        <v>3969</v>
      </c>
      <c r="H22" s="5">
        <f>F22-G22</f>
        <v>-231.80438709677401</v>
      </c>
      <c r="I22" s="5">
        <f t="shared" si="0"/>
        <v>590.35461763762135</v>
      </c>
      <c r="J22" s="5">
        <f>C22/B24</f>
        <v>33.200000000000003</v>
      </c>
    </row>
    <row r="23" spans="1:10" x14ac:dyDescent="0.2">
      <c r="A23" s="2" t="s">
        <v>8</v>
      </c>
      <c r="B23" s="82">
        <v>3</v>
      </c>
      <c r="C23" s="35"/>
      <c r="D23" s="5"/>
      <c r="E23" s="5"/>
      <c r="F23" s="5">
        <f>$E$22/$B$24*B23</f>
        <v>5605.793419354839</v>
      </c>
      <c r="G23" s="16">
        <f>'a conto bofæller'!E14</f>
        <v>5959</v>
      </c>
      <c r="H23" s="16">
        <f>F23-G23</f>
        <v>-353.20658064516101</v>
      </c>
      <c r="I23" s="16">
        <f t="shared" si="0"/>
        <v>885.53192645643196</v>
      </c>
      <c r="J23" s="16"/>
    </row>
    <row r="24" spans="1:10" x14ac:dyDescent="0.2">
      <c r="A24" s="9" t="s">
        <v>33</v>
      </c>
      <c r="B24" s="25">
        <f>SUM(B22:B23)</f>
        <v>5</v>
      </c>
      <c r="C24" s="70"/>
      <c r="D24" s="11"/>
      <c r="E24" s="11"/>
      <c r="F24" s="11"/>
      <c r="G24" s="5"/>
      <c r="H24" s="5"/>
      <c r="I24" s="5"/>
      <c r="J24" s="5"/>
    </row>
    <row r="25" spans="1:10" x14ac:dyDescent="0.2">
      <c r="A25" s="12" t="s">
        <v>9</v>
      </c>
      <c r="B25" s="81">
        <v>2</v>
      </c>
      <c r="C25" s="68"/>
      <c r="D25" s="14"/>
      <c r="E25" s="14"/>
      <c r="F25" s="5">
        <f>$E$26/$B$28*B25</f>
        <v>3615.652687106121</v>
      </c>
      <c r="G25" s="5">
        <f>'a conto bofæller'!E15</f>
        <v>3712</v>
      </c>
      <c r="H25" s="5">
        <f>F25-G25</f>
        <v>-96.347312893879007</v>
      </c>
      <c r="I25" s="5">
        <f t="shared" si="0"/>
        <v>571.15481251161498</v>
      </c>
      <c r="J25" s="5"/>
    </row>
    <row r="26" spans="1:10" x14ac:dyDescent="0.2">
      <c r="A26" s="12" t="s">
        <v>10</v>
      </c>
      <c r="B26" s="81">
        <v>2</v>
      </c>
      <c r="C26" s="68">
        <f>Aflæsninger!E14</f>
        <v>203</v>
      </c>
      <c r="D26" s="5"/>
      <c r="E26" s="14">
        <f>C26*$D$8</f>
        <v>11425.462491255343</v>
      </c>
      <c r="F26" s="5">
        <f>$E$26/$B$28*B26</f>
        <v>3615.652687106121</v>
      </c>
      <c r="G26" s="5">
        <f>'a conto bofæller'!E16</f>
        <v>3712</v>
      </c>
      <c r="H26" s="5">
        <f>F26-G26</f>
        <v>-96.347312893879007</v>
      </c>
      <c r="I26" s="5">
        <f t="shared" si="0"/>
        <v>571.15481251161498</v>
      </c>
      <c r="J26" s="5">
        <f>C26/B28</f>
        <v>32.120253164556964</v>
      </c>
    </row>
    <row r="27" spans="1:10" x14ac:dyDescent="0.2">
      <c r="A27" s="15" t="s">
        <v>11</v>
      </c>
      <c r="B27" s="82">
        <v>2.3199999999999998</v>
      </c>
      <c r="C27" s="71"/>
      <c r="D27" s="16"/>
      <c r="E27" s="16"/>
      <c r="F27" s="16">
        <f>$E$26/$B$28*B27</f>
        <v>4194.1571170430998</v>
      </c>
      <c r="G27" s="16">
        <f>'a conto bofæller'!E17</f>
        <v>3957</v>
      </c>
      <c r="H27" s="16">
        <f>F27-G27</f>
        <v>237.15711704309979</v>
      </c>
      <c r="I27" s="16">
        <f t="shared" si="0"/>
        <v>662.53958251347331</v>
      </c>
      <c r="J27" s="16"/>
    </row>
    <row r="28" spans="1:10" x14ac:dyDescent="0.2">
      <c r="A28" s="2" t="s">
        <v>33</v>
      </c>
      <c r="B28" s="4">
        <f>SUM(B25:B27)</f>
        <v>6.32</v>
      </c>
      <c r="C28" s="48"/>
      <c r="D28" s="5"/>
      <c r="E28" s="5"/>
      <c r="F28" s="5"/>
      <c r="G28" s="5"/>
      <c r="H28" s="5"/>
      <c r="I28" s="5"/>
      <c r="J28" s="5"/>
    </row>
    <row r="29" spans="1:10" x14ac:dyDescent="0.2">
      <c r="A29" s="2">
        <v>12</v>
      </c>
      <c r="B29" s="81">
        <v>3</v>
      </c>
      <c r="C29" s="35"/>
      <c r="D29" s="5"/>
      <c r="E29" s="5"/>
      <c r="F29" s="5">
        <f>$E$30/$B$32*B29</f>
        <v>5695.6308881148925</v>
      </c>
      <c r="G29" s="5">
        <f>'a conto bofæller'!E18</f>
        <v>5694</v>
      </c>
      <c r="H29" s="5">
        <f t="shared" ref="H29:H35" si="1">F29-G29</f>
        <v>1.6308881148925138</v>
      </c>
      <c r="I29" s="5">
        <f t="shared" si="0"/>
        <v>899.72330684237136</v>
      </c>
      <c r="J29" s="5"/>
    </row>
    <row r="30" spans="1:10" x14ac:dyDescent="0.2">
      <c r="A30" s="2">
        <v>13</v>
      </c>
      <c r="B30" s="81">
        <v>2</v>
      </c>
      <c r="C30" s="35">
        <f>Aflæsninger!E15</f>
        <v>282</v>
      </c>
      <c r="D30" s="5"/>
      <c r="E30" s="5">
        <f>C30*$D$8</f>
        <v>15871.824741546832</v>
      </c>
      <c r="F30" s="5">
        <f>$E$30/$B$32*B30</f>
        <v>3797.0872587432614</v>
      </c>
      <c r="G30" s="5">
        <f>'a conto bofæller'!E19</f>
        <v>3781</v>
      </c>
      <c r="H30" s="5">
        <f t="shared" si="1"/>
        <v>16.087258743261373</v>
      </c>
      <c r="I30" s="5">
        <f t="shared" si="0"/>
        <v>599.81553789491409</v>
      </c>
      <c r="J30" s="5">
        <f>C30/B32</f>
        <v>33.732057416267942</v>
      </c>
    </row>
    <row r="31" spans="1:10" x14ac:dyDescent="0.2">
      <c r="A31" s="2">
        <v>14</v>
      </c>
      <c r="B31" s="82">
        <v>3.36</v>
      </c>
      <c r="C31" s="35"/>
      <c r="D31" s="5"/>
      <c r="E31" s="5"/>
      <c r="F31" s="5">
        <f>$E$30/$B$32*B31</f>
        <v>6379.1065946886793</v>
      </c>
      <c r="G31" s="16">
        <f>'a conto bofæller'!E20</f>
        <v>7191</v>
      </c>
      <c r="H31" s="16">
        <f t="shared" si="1"/>
        <v>-811.89340531132075</v>
      </c>
      <c r="I31" s="16">
        <f t="shared" si="0"/>
        <v>1007.6901036634558</v>
      </c>
      <c r="J31" s="16"/>
    </row>
    <row r="32" spans="1:10" x14ac:dyDescent="0.2">
      <c r="A32" s="9" t="s">
        <v>33</v>
      </c>
      <c r="B32" s="25">
        <f>SUM(B29:B31)</f>
        <v>8.36</v>
      </c>
      <c r="C32" s="70"/>
      <c r="D32" s="11"/>
      <c r="E32" s="11"/>
      <c r="F32" s="11"/>
      <c r="G32" s="5"/>
      <c r="H32" s="5"/>
      <c r="I32" s="5"/>
      <c r="J32" s="5"/>
    </row>
    <row r="33" spans="1:11" x14ac:dyDescent="0.2">
      <c r="A33" s="12" t="s">
        <v>12</v>
      </c>
      <c r="B33" s="81">
        <v>5</v>
      </c>
      <c r="C33" s="68"/>
      <c r="D33" s="14"/>
      <c r="E33" s="14"/>
      <c r="F33" s="5">
        <f>$E$34/$B$36*B33</f>
        <v>6691.4312346158831</v>
      </c>
      <c r="G33" s="5">
        <f>'a conto bofæller'!E21</f>
        <v>8846</v>
      </c>
      <c r="H33" s="5">
        <f t="shared" si="1"/>
        <v>-2154.5687653841169</v>
      </c>
      <c r="I33" s="5">
        <f t="shared" si="0"/>
        <v>1057.0271768277355</v>
      </c>
      <c r="J33" s="5"/>
    </row>
    <row r="34" spans="1:11" x14ac:dyDescent="0.2">
      <c r="A34" s="12" t="s">
        <v>22</v>
      </c>
      <c r="B34" s="81">
        <v>2</v>
      </c>
      <c r="C34" s="68">
        <f>Aflæsninger!E16</f>
        <v>214</v>
      </c>
      <c r="D34" s="5"/>
      <c r="E34" s="14">
        <f>C34*$D$8</f>
        <v>12044.576222308589</v>
      </c>
      <c r="F34" s="5">
        <f>$E$34/$B$36*B34</f>
        <v>2676.5724938463532</v>
      </c>
      <c r="G34" s="5">
        <f>'a conto bofæller'!E22</f>
        <v>4020</v>
      </c>
      <c r="H34" s="5">
        <f t="shared" si="1"/>
        <v>-1343.4275061536468</v>
      </c>
      <c r="I34" s="5">
        <f t="shared" si="0"/>
        <v>422.81087073109427</v>
      </c>
      <c r="J34" s="5">
        <f>C34/B36</f>
        <v>23.777777777777779</v>
      </c>
    </row>
    <row r="35" spans="1:11" x14ac:dyDescent="0.2">
      <c r="A35" s="15" t="s">
        <v>13</v>
      </c>
      <c r="B35" s="82">
        <v>2</v>
      </c>
      <c r="C35" s="71"/>
      <c r="D35" s="16"/>
      <c r="E35" s="16"/>
      <c r="F35" s="5">
        <f>$E$34/$B$36*B35</f>
        <v>2676.5724938463532</v>
      </c>
      <c r="G35" s="16">
        <f>'a conto bofæller'!E23</f>
        <v>4020</v>
      </c>
      <c r="H35" s="16">
        <f t="shared" si="1"/>
        <v>-1343.4275061536468</v>
      </c>
      <c r="I35" s="16">
        <f t="shared" si="0"/>
        <v>422.81087073109427</v>
      </c>
      <c r="J35" s="16"/>
    </row>
    <row r="36" spans="1:11" x14ac:dyDescent="0.2">
      <c r="A36" s="2" t="s">
        <v>33</v>
      </c>
      <c r="B36" s="25">
        <f>SUM(B33:B35)</f>
        <v>9</v>
      </c>
      <c r="C36" s="48"/>
      <c r="D36" s="5"/>
      <c r="E36" s="5"/>
      <c r="F36" s="11"/>
      <c r="G36" s="5"/>
      <c r="H36" s="5"/>
      <c r="I36" s="5"/>
      <c r="J36" s="5"/>
    </row>
    <row r="37" spans="1:11" x14ac:dyDescent="0.2">
      <c r="A37" s="2" t="s">
        <v>14</v>
      </c>
      <c r="B37" s="81">
        <v>4</v>
      </c>
      <c r="C37" s="35"/>
      <c r="D37" s="5"/>
      <c r="E37" s="5"/>
      <c r="F37" s="5">
        <f>$E$38/$B$40*B37</f>
        <v>7390.0392068595838</v>
      </c>
      <c r="G37" s="5">
        <f>'a conto bofæller'!E24</f>
        <v>8087</v>
      </c>
      <c r="H37" s="5">
        <f>F37-G37</f>
        <v>-696.96079314041617</v>
      </c>
      <c r="I37" s="5">
        <f t="shared" si="0"/>
        <v>1167.3843764638905</v>
      </c>
      <c r="J37" s="5"/>
    </row>
    <row r="38" spans="1:11" x14ac:dyDescent="0.2">
      <c r="A38" s="2" t="s">
        <v>15</v>
      </c>
      <c r="B38" s="81">
        <v>2</v>
      </c>
      <c r="C38" s="35">
        <f>Aflæsninger!E17</f>
        <v>280</v>
      </c>
      <c r="D38" s="5"/>
      <c r="E38" s="5">
        <f>C38*$D$8</f>
        <v>15759.258608628061</v>
      </c>
      <c r="F38" s="5">
        <f>$E$38/$B$40*B38</f>
        <v>3695.0196034297919</v>
      </c>
      <c r="G38" s="5">
        <f>'a conto bofæller'!E25</f>
        <v>4826</v>
      </c>
      <c r="H38" s="5">
        <f>F38-G38</f>
        <v>-1130.9803965702081</v>
      </c>
      <c r="I38" s="5">
        <f t="shared" si="0"/>
        <v>583.69218823194524</v>
      </c>
      <c r="J38" s="5">
        <f>C38/B40</f>
        <v>32.825322391559205</v>
      </c>
    </row>
    <row r="39" spans="1:11" x14ac:dyDescent="0.2">
      <c r="A39" s="2" t="s">
        <v>16</v>
      </c>
      <c r="B39" s="81">
        <v>2.5299999999999998</v>
      </c>
      <c r="C39" s="35"/>
      <c r="D39" s="5"/>
      <c r="E39" s="5"/>
      <c r="F39" s="5">
        <f>$E$38/$B$40*B39</f>
        <v>4674.1997983386864</v>
      </c>
      <c r="G39" s="16">
        <f>'a conto bofæller'!E26</f>
        <v>5552</v>
      </c>
      <c r="H39" s="16">
        <f>F39-G39</f>
        <v>-877.80020166131362</v>
      </c>
      <c r="I39" s="16">
        <f t="shared" si="0"/>
        <v>738.37061811341073</v>
      </c>
      <c r="J39" s="16"/>
    </row>
    <row r="40" spans="1:11" x14ac:dyDescent="0.2">
      <c r="A40" s="9" t="s">
        <v>33</v>
      </c>
      <c r="B40" s="23">
        <f>SUM(B37:B39)</f>
        <v>8.5299999999999994</v>
      </c>
      <c r="C40" s="70"/>
      <c r="D40" s="11"/>
      <c r="E40" s="11"/>
      <c r="F40" s="11"/>
      <c r="G40" s="5"/>
      <c r="H40" s="5"/>
      <c r="I40" s="5"/>
      <c r="J40" s="5"/>
    </row>
    <row r="41" spans="1:11" x14ac:dyDescent="0.2">
      <c r="A41" s="12" t="s">
        <v>17</v>
      </c>
      <c r="B41" s="81">
        <v>4</v>
      </c>
      <c r="C41" s="68"/>
      <c r="D41" s="14"/>
      <c r="E41" s="14"/>
      <c r="F41" s="5">
        <f>$E$42/$B$44*B41</f>
        <v>5650.8198725223465</v>
      </c>
      <c r="G41" s="5">
        <f>'a conto bofæller'!E27</f>
        <v>6174</v>
      </c>
      <c r="H41" s="5">
        <f>F41-G41</f>
        <v>-523.18012747765351</v>
      </c>
      <c r="I41" s="5">
        <f t="shared" si="0"/>
        <v>892.64463269302962</v>
      </c>
      <c r="J41" s="5"/>
    </row>
    <row r="42" spans="1:11" x14ac:dyDescent="0.2">
      <c r="A42" s="12" t="s">
        <v>18</v>
      </c>
      <c r="B42" s="81">
        <v>2</v>
      </c>
      <c r="C42" s="68">
        <f>Aflæsninger!E18</f>
        <v>251</v>
      </c>
      <c r="D42" s="5"/>
      <c r="E42" s="14">
        <f>C42*$D$8</f>
        <v>14127.049681305867</v>
      </c>
      <c r="F42" s="5">
        <f>$E$42/$B$44*B42</f>
        <v>2825.4099362611732</v>
      </c>
      <c r="G42" s="5">
        <f>'a conto bofæller'!E28</f>
        <v>3161</v>
      </c>
      <c r="H42" s="5">
        <f>F42-G42</f>
        <v>-335.59006373882676</v>
      </c>
      <c r="I42" s="5">
        <f t="shared" si="0"/>
        <v>446.32231634651481</v>
      </c>
      <c r="J42" s="5">
        <f>C42/B44</f>
        <v>25.1</v>
      </c>
    </row>
    <row r="43" spans="1:11" x14ac:dyDescent="0.2">
      <c r="A43" s="15" t="s">
        <v>19</v>
      </c>
      <c r="B43" s="82">
        <v>4</v>
      </c>
      <c r="C43" s="71"/>
      <c r="D43" s="16"/>
      <c r="E43" s="16"/>
      <c r="F43" s="16">
        <f>$E$42/$B$44*B43</f>
        <v>5650.8198725223465</v>
      </c>
      <c r="G43" s="16">
        <f>'a conto bofæller'!E29</f>
        <v>6051</v>
      </c>
      <c r="H43" s="16">
        <f>F43-G43</f>
        <v>-400.18012747765351</v>
      </c>
      <c r="I43" s="16">
        <f t="shared" si="0"/>
        <v>892.64463269302962</v>
      </c>
      <c r="J43" s="16"/>
    </row>
    <row r="44" spans="1:11" x14ac:dyDescent="0.2">
      <c r="A44" s="2" t="s">
        <v>33</v>
      </c>
      <c r="B44" s="4">
        <f>SUM(B41:B43)</f>
        <v>10</v>
      </c>
      <c r="C44" s="48"/>
      <c r="D44" s="5"/>
      <c r="E44" s="5" t="s">
        <v>3</v>
      </c>
      <c r="F44" s="5"/>
      <c r="G44" s="5"/>
      <c r="H44" s="5"/>
      <c r="I44" s="5"/>
      <c r="J44" s="5"/>
    </row>
    <row r="45" spans="1:11" x14ac:dyDescent="0.2">
      <c r="A45" s="2" t="s">
        <v>20</v>
      </c>
      <c r="B45" s="81">
        <v>1</v>
      </c>
      <c r="C45" s="35">
        <f>Aflæsninger!E19</f>
        <v>35</v>
      </c>
      <c r="D45" s="5">
        <f>Aflæsninger!E26</f>
        <v>35</v>
      </c>
      <c r="E45" s="5"/>
      <c r="F45" s="5">
        <f>($C45+D$45*B45/B$47)*$D$8</f>
        <v>2363.8887912942091</v>
      </c>
      <c r="G45" s="5">
        <f>'a conto bofæller'!E30</f>
        <v>5551</v>
      </c>
      <c r="H45" s="5">
        <f>F45-G45</f>
        <v>-3187.1112087057909</v>
      </c>
      <c r="I45" s="5">
        <f t="shared" si="0"/>
        <v>373.41707742138698</v>
      </c>
      <c r="J45" s="5">
        <f>C45/B45</f>
        <v>35</v>
      </c>
      <c r="K45" t="s">
        <v>55</v>
      </c>
    </row>
    <row r="46" spans="1:11" x14ac:dyDescent="0.2">
      <c r="A46" s="15" t="s">
        <v>21</v>
      </c>
      <c r="B46" s="82">
        <v>4</v>
      </c>
      <c r="C46" s="71">
        <f>Aflæsninger!E20</f>
        <v>30</v>
      </c>
      <c r="D46" s="16"/>
      <c r="E46" s="16"/>
      <c r="F46" s="16">
        <f>($C46+D$45*B46/B$47)*$D$8</f>
        <v>3264.4178546443836</v>
      </c>
      <c r="G46" s="16">
        <f>'a conto bofæller'!E31</f>
        <v>3366</v>
      </c>
      <c r="H46" s="16">
        <f>F46-G46</f>
        <v>-101.58214535561638</v>
      </c>
      <c r="I46" s="16">
        <f t="shared" si="0"/>
        <v>515.67120215334387</v>
      </c>
      <c r="J46" s="16">
        <f>C46/B46</f>
        <v>7.5</v>
      </c>
      <c r="K46" t="s">
        <v>55</v>
      </c>
    </row>
    <row r="47" spans="1:11" x14ac:dyDescent="0.2">
      <c r="A47" s="2" t="s">
        <v>33</v>
      </c>
      <c r="B47" s="48">
        <f>SUM(B45:B46)</f>
        <v>5</v>
      </c>
      <c r="C47" s="34"/>
      <c r="D47" s="5"/>
      <c r="E47" s="5"/>
      <c r="F47" s="5"/>
      <c r="G47" s="5"/>
      <c r="H47" s="5"/>
      <c r="I47" s="5"/>
      <c r="J47" s="5"/>
    </row>
    <row r="48" spans="1:11" x14ac:dyDescent="0.2">
      <c r="A48" s="110" t="s">
        <v>146</v>
      </c>
      <c r="B48" s="81">
        <v>0.34</v>
      </c>
      <c r="C48" s="33">
        <f>Aflæsninger!E25</f>
        <v>173</v>
      </c>
      <c r="D48" s="33">
        <f>-D45</f>
        <v>-35</v>
      </c>
      <c r="E48" s="5">
        <f>(C48+D48)*D8</f>
        <v>7767.063171395258</v>
      </c>
      <c r="F48" s="5">
        <f>$E$48/$B$50*B48</f>
        <v>671.95966368305039</v>
      </c>
      <c r="G48" s="5">
        <f>'a conto bofæller'!E32</f>
        <v>1332</v>
      </c>
      <c r="H48" s="5">
        <f>F48-G48</f>
        <v>-660.04033631694961</v>
      </c>
      <c r="I48" s="5">
        <f t="shared" si="0"/>
        <v>106.14763887441825</v>
      </c>
      <c r="J48" s="5">
        <f>C48/B50</f>
        <v>44.020356234096695</v>
      </c>
      <c r="K48" s="34" t="s">
        <v>148</v>
      </c>
    </row>
    <row r="49" spans="1:11" x14ac:dyDescent="0.2">
      <c r="A49" s="110" t="s">
        <v>147</v>
      </c>
      <c r="B49" s="81">
        <v>3.59</v>
      </c>
      <c r="C49" s="35"/>
      <c r="D49" s="5"/>
      <c r="E49" s="5"/>
      <c r="F49" s="5">
        <f>$E$48/$B$50*B49</f>
        <v>7095.1035077122078</v>
      </c>
      <c r="G49" s="5">
        <f>'a conto bofæller'!E33</f>
        <v>6291</v>
      </c>
      <c r="H49" s="16">
        <f>F49-G49</f>
        <v>804.10350771220783</v>
      </c>
      <c r="I49" s="16">
        <f t="shared" si="0"/>
        <v>1120.7941869387105</v>
      </c>
      <c r="J49" s="16"/>
    </row>
    <row r="50" spans="1:11" x14ac:dyDescent="0.2">
      <c r="A50" s="17" t="s">
        <v>33</v>
      </c>
      <c r="B50" s="24">
        <f>SUM(B48:B49)</f>
        <v>3.9299999999999997</v>
      </c>
      <c r="C50" s="10"/>
      <c r="D50" s="11"/>
      <c r="E50" s="11"/>
      <c r="F50" s="11"/>
      <c r="G50" s="11"/>
      <c r="H50" s="5"/>
      <c r="I50" s="14"/>
      <c r="J50" s="14"/>
    </row>
    <row r="51" spans="1:11" x14ac:dyDescent="0.2">
      <c r="A51" s="13"/>
      <c r="B51" s="40"/>
      <c r="C51" s="41"/>
      <c r="D51" s="14"/>
      <c r="E51" s="14"/>
      <c r="F51" s="14"/>
      <c r="G51" s="14"/>
      <c r="H51" s="14"/>
      <c r="I51" s="14"/>
      <c r="J51" s="14"/>
      <c r="K51" s="20"/>
    </row>
    <row r="52" spans="1:11" x14ac:dyDescent="0.2">
      <c r="A52" s="22" t="s">
        <v>36</v>
      </c>
      <c r="B52" s="22"/>
      <c r="C52" s="32">
        <f>SUM(C14:C49)</f>
        <v>2166</v>
      </c>
      <c r="D52" s="5" t="s">
        <v>34</v>
      </c>
      <c r="E52" s="5">
        <f>SUM(F14:F49)</f>
        <v>121909.12195102994</v>
      </c>
      <c r="F52" t="s">
        <v>35</v>
      </c>
      <c r="G52" s="5">
        <f>SUM(G14:G49)</f>
        <v>135081</v>
      </c>
      <c r="H52" s="21">
        <f>SUM(H14:H49)</f>
        <v>-13171.878048970077</v>
      </c>
      <c r="I52" s="92"/>
      <c r="K52" s="20"/>
    </row>
    <row r="53" spans="1:11" x14ac:dyDescent="0.2">
      <c r="A53" s="141" t="s">
        <v>37</v>
      </c>
      <c r="B53" s="141"/>
      <c r="C53" s="69">
        <f>Aflæsninger!E22</f>
        <v>407</v>
      </c>
      <c r="D53" s="5" t="s">
        <v>34</v>
      </c>
      <c r="E53" s="5">
        <f>C53*$D$8</f>
        <v>22907.208048970071</v>
      </c>
      <c r="F53" s="27" t="s">
        <v>35</v>
      </c>
      <c r="G53" s="5"/>
      <c r="H53" s="5"/>
      <c r="I53" s="32"/>
      <c r="J53" s="5"/>
    </row>
    <row r="54" spans="1:11" x14ac:dyDescent="0.2">
      <c r="A54" s="22" t="s">
        <v>42</v>
      </c>
      <c r="B54" s="22"/>
      <c r="C54" s="32">
        <f>C52+C53</f>
        <v>2573</v>
      </c>
      <c r="D54" s="5" t="s">
        <v>34</v>
      </c>
      <c r="E54" s="5">
        <f>E52+E53</f>
        <v>144816.33000000002</v>
      </c>
      <c r="F54" s="27" t="s">
        <v>35</v>
      </c>
      <c r="G54" s="5"/>
      <c r="H54" s="38"/>
      <c r="I54" s="32"/>
      <c r="J54" s="38"/>
      <c r="K54" s="38"/>
    </row>
    <row r="55" spans="1:11" x14ac:dyDescent="0.2">
      <c r="A55" s="29" t="s">
        <v>52</v>
      </c>
      <c r="B55" s="1"/>
      <c r="C55" s="32">
        <f>D4-C54</f>
        <v>0</v>
      </c>
      <c r="D55" s="5" t="s">
        <v>34</v>
      </c>
      <c r="E55" s="5">
        <f>D6-E54</f>
        <v>0</v>
      </c>
      <c r="F55" s="27" t="s">
        <v>35</v>
      </c>
      <c r="G55" s="5"/>
      <c r="H55" s="5"/>
      <c r="I55" s="32"/>
      <c r="J55" s="5"/>
    </row>
    <row r="56" spans="1:11" s="37" customFormat="1" x14ac:dyDescent="0.2">
      <c r="A56" s="37" t="s">
        <v>43</v>
      </c>
      <c r="C56" s="38">
        <f>C54+C55</f>
        <v>2573</v>
      </c>
      <c r="D56" s="38" t="s">
        <v>34</v>
      </c>
      <c r="E56" s="38">
        <f>E54+E55</f>
        <v>144816.33000000002</v>
      </c>
      <c r="F56" s="39" t="s">
        <v>35</v>
      </c>
      <c r="I56" s="32"/>
    </row>
    <row r="57" spans="1:11" x14ac:dyDescent="0.2">
      <c r="A57" s="2"/>
      <c r="B57" s="1"/>
      <c r="C57" s="1"/>
      <c r="D57" s="5"/>
      <c r="E57" s="5"/>
      <c r="F57" s="5"/>
      <c r="G57" s="5"/>
      <c r="H57" s="5"/>
      <c r="I57" s="5"/>
      <c r="J57" s="5"/>
    </row>
    <row r="58" spans="1:11" x14ac:dyDescent="0.2">
      <c r="A58" t="s">
        <v>163</v>
      </c>
    </row>
    <row r="60" spans="1:11" x14ac:dyDescent="0.2">
      <c r="A60" s="102" t="s">
        <v>164</v>
      </c>
      <c r="B60" s="90"/>
      <c r="C60" s="103">
        <f>C53</f>
        <v>407</v>
      </c>
      <c r="D60" s="71" t="s">
        <v>34</v>
      </c>
      <c r="E60" s="103">
        <f>C60*$D$8</f>
        <v>22907.208048970071</v>
      </c>
      <c r="F60" s="104" t="s">
        <v>35</v>
      </c>
      <c r="G60" s="5"/>
      <c r="H60" s="5"/>
      <c r="I60" s="89"/>
      <c r="K60" s="34"/>
    </row>
    <row r="61" spans="1:11" x14ac:dyDescent="0.2">
      <c r="A61" s="20" t="s">
        <v>82</v>
      </c>
      <c r="B61" s="20"/>
      <c r="C61" s="100">
        <v>182</v>
      </c>
      <c r="D61" s="13" t="s">
        <v>34</v>
      </c>
      <c r="E61" s="106">
        <f>C61*$D$8</f>
        <v>10243.518095608239</v>
      </c>
      <c r="F61" s="20" t="s">
        <v>35</v>
      </c>
      <c r="G61" s="101">
        <v>11257</v>
      </c>
      <c r="H61" s="14">
        <f>E61-G61</f>
        <v>-1013.4819043917614</v>
      </c>
      <c r="K61" t="s">
        <v>129</v>
      </c>
    </row>
    <row r="62" spans="1:11" ht="13.5" thickBot="1" x14ac:dyDescent="0.25">
      <c r="A62" s="102" t="s">
        <v>83</v>
      </c>
      <c r="B62" s="90"/>
      <c r="C62" s="103">
        <f>C60-C61</f>
        <v>225</v>
      </c>
      <c r="D62" s="71" t="s">
        <v>34</v>
      </c>
      <c r="E62" s="103">
        <f>C62*$D$8</f>
        <v>12663.689953361834</v>
      </c>
      <c r="F62" s="104" t="s">
        <v>35</v>
      </c>
      <c r="G62" s="16">
        <f>'a conto fælleshuset'!J16</f>
        <v>18684</v>
      </c>
      <c r="H62" s="88">
        <f>E62-G62</f>
        <v>-6020.3100466381657</v>
      </c>
      <c r="I62" s="87">
        <f>(E62)/6*(1+K$8)</f>
        <v>2000.4486290431446</v>
      </c>
    </row>
    <row r="63" spans="1:11" ht="13.5" thickTop="1" x14ac:dyDescent="0.2">
      <c r="A63" s="105"/>
      <c r="B63" s="20"/>
      <c r="C63" s="106"/>
      <c r="D63" s="68"/>
      <c r="E63" s="106"/>
      <c r="F63" s="107"/>
      <c r="G63" s="14"/>
      <c r="H63" s="14"/>
      <c r="I63" s="89"/>
    </row>
    <row r="64" spans="1:11" x14ac:dyDescent="0.2">
      <c r="A64" s="28"/>
    </row>
    <row r="65" spans="1:10" s="98" customFormat="1" ht="13.5" thickBot="1" x14ac:dyDescent="0.25">
      <c r="A65" s="98" t="s">
        <v>43</v>
      </c>
      <c r="E65" s="99"/>
      <c r="G65" s="138">
        <f>G52+G62+G61</f>
        <v>165022</v>
      </c>
      <c r="H65" s="138">
        <f>H52+H62+H61</f>
        <v>-20205.670000000006</v>
      </c>
      <c r="J65" s="137">
        <f>G65+H65-D6</f>
        <v>0</v>
      </c>
    </row>
    <row r="66" spans="1:10" ht="13.5" thickTop="1" x14ac:dyDescent="0.2"/>
    <row r="69" spans="1:10" x14ac:dyDescent="0.2">
      <c r="A69" t="s">
        <v>78</v>
      </c>
    </row>
  </sheetData>
  <protectedRanges>
    <protectedRange sqref="C45:C49" name="Område11_1_1_1"/>
    <protectedRange sqref="C41:C43" name="Område10_1_1_1"/>
    <protectedRange sqref="C37:C39" name="Område9_1_1_1"/>
    <protectedRange sqref="C33:C35" name="Område8_1_1_1"/>
    <protectedRange sqref="C29:C31" name="Område7_1_1_1"/>
    <protectedRange sqref="C25:C27" name="Område6_1_1_1"/>
    <protectedRange sqref="C14:C16" name="Område3_1_1_1"/>
    <protectedRange sqref="C18:C20" name="Område4_1_1_1"/>
    <protectedRange sqref="C22:C23" name="Område5_1_1_1"/>
    <protectedRange sqref="A1" name="Område12"/>
    <protectedRange sqref="B45:B49" name="Område11_1_1_1_1"/>
    <protectedRange sqref="B41:B43" name="Område10_1_1_1_1"/>
    <protectedRange sqref="B37:B39" name="Område9_1_1_1_1"/>
    <protectedRange sqref="B33:B35" name="Område8_1_1_1_1"/>
    <protectedRange sqref="B29:B31" name="Område7_1_1_1_1"/>
    <protectedRange sqref="B25:B27" name="Område6_1_1_1_1"/>
    <protectedRange sqref="B14:B16" name="Område3_1_1_1_1"/>
    <protectedRange sqref="B18:B20" name="Område4_1_1_1_1"/>
    <protectedRange sqref="B22:B23" name="Område5_1_1_1_1"/>
    <protectedRange sqref="J4:J6" name="Område13_1_1"/>
  </protectedRanges>
  <mergeCells count="2">
    <mergeCell ref="A53:B53"/>
    <mergeCell ref="A7:B7"/>
  </mergeCells>
  <phoneticPr fontId="0" type="noConversion"/>
  <pageMargins left="0.75" right="0.75" top="1" bottom="1" header="0.5" footer="0.5"/>
  <pageSetup paperSize="9" scale="6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26" sqref="H26"/>
    </sheetView>
  </sheetViews>
  <sheetFormatPr defaultRowHeight="12.75" x14ac:dyDescent="0.2"/>
  <cols>
    <col min="1" max="2" width="10.28515625" style="109" bestFit="1" customWidth="1"/>
    <col min="3" max="3" width="9.140625" style="109"/>
    <col min="4" max="4" width="8.7109375" style="109" bestFit="1" customWidth="1"/>
    <col min="5" max="16384" width="9.140625" style="109"/>
  </cols>
  <sheetData>
    <row r="1" spans="1:6" x14ac:dyDescent="0.2">
      <c r="A1" s="43" t="s">
        <v>150</v>
      </c>
      <c r="B1" s="34"/>
      <c r="C1" s="34"/>
      <c r="D1" s="97">
        <f>SUM(D3:D3)</f>
        <v>2.9917808219178084</v>
      </c>
    </row>
    <row r="2" spans="1:6" x14ac:dyDescent="0.2">
      <c r="A2" s="34" t="s">
        <v>130</v>
      </c>
      <c r="B2" s="34" t="s">
        <v>131</v>
      </c>
      <c r="C2" s="48" t="s">
        <v>24</v>
      </c>
      <c r="D2" s="48" t="s">
        <v>132</v>
      </c>
    </row>
    <row r="3" spans="1:6" x14ac:dyDescent="0.2">
      <c r="A3" s="126">
        <v>42736</v>
      </c>
      <c r="B3" s="126">
        <v>43100</v>
      </c>
      <c r="C3" s="34">
        <v>3</v>
      </c>
      <c r="D3" s="127">
        <f>C3*(B3-A3)/365</f>
        <v>2.9917808219178084</v>
      </c>
      <c r="F3" s="34" t="s">
        <v>155</v>
      </c>
    </row>
    <row r="4" spans="1:6" x14ac:dyDescent="0.2">
      <c r="A4" s="124"/>
      <c r="B4" s="124"/>
      <c r="D4" s="125"/>
    </row>
    <row r="5" spans="1:6" x14ac:dyDescent="0.2">
      <c r="A5" s="43" t="s">
        <v>161</v>
      </c>
      <c r="B5" s="34"/>
      <c r="C5" s="34"/>
      <c r="D5" s="97">
        <f>SUM(D7:D8)</f>
        <v>2.3205479452054796</v>
      </c>
    </row>
    <row r="6" spans="1:6" x14ac:dyDescent="0.2">
      <c r="A6" s="34" t="s">
        <v>130</v>
      </c>
      <c r="B6" s="34" t="s">
        <v>131</v>
      </c>
      <c r="C6" s="48" t="s">
        <v>24</v>
      </c>
      <c r="D6" s="48" t="s">
        <v>132</v>
      </c>
    </row>
    <row r="7" spans="1:6" x14ac:dyDescent="0.2">
      <c r="A7" s="126">
        <v>42736</v>
      </c>
      <c r="B7" s="126">
        <v>42978</v>
      </c>
      <c r="C7" s="34">
        <v>2</v>
      </c>
      <c r="D7" s="127">
        <f>C7*(B7-A7)/365</f>
        <v>1.3260273972602741</v>
      </c>
    </row>
    <row r="8" spans="1:6" x14ac:dyDescent="0.2">
      <c r="A8" s="126">
        <v>42979</v>
      </c>
      <c r="B8" s="126">
        <v>43100</v>
      </c>
      <c r="C8" s="34">
        <v>3</v>
      </c>
      <c r="D8" s="127">
        <f>C8*(B8-A8)/365</f>
        <v>0.9945205479452055</v>
      </c>
    </row>
    <row r="9" spans="1:6" x14ac:dyDescent="0.2">
      <c r="A9" s="126"/>
      <c r="B9" s="126"/>
      <c r="C9" s="34"/>
      <c r="D9" s="127"/>
    </row>
    <row r="10" spans="1:6" x14ac:dyDescent="0.2">
      <c r="A10" s="43" t="s">
        <v>160</v>
      </c>
      <c r="B10" s="34"/>
      <c r="C10" s="34"/>
      <c r="D10" s="97">
        <f>SUM(D12:D14)</f>
        <v>3.3589041095890408</v>
      </c>
    </row>
    <row r="11" spans="1:6" x14ac:dyDescent="0.2">
      <c r="A11" s="34" t="s">
        <v>130</v>
      </c>
      <c r="B11" s="34" t="s">
        <v>131</v>
      </c>
      <c r="C11" s="48" t="s">
        <v>24</v>
      </c>
      <c r="D11" s="48" t="s">
        <v>132</v>
      </c>
    </row>
    <row r="12" spans="1:6" x14ac:dyDescent="0.2">
      <c r="A12" s="126">
        <v>42736</v>
      </c>
      <c r="B12" s="126">
        <v>42837</v>
      </c>
      <c r="C12" s="34">
        <v>3</v>
      </c>
      <c r="D12" s="127">
        <f>C12*(B12-A12)/365</f>
        <v>0.83013698630136989</v>
      </c>
    </row>
    <row r="13" spans="1:6" x14ac:dyDescent="0.2">
      <c r="A13" s="126">
        <v>42838</v>
      </c>
      <c r="B13" s="126">
        <v>42978</v>
      </c>
      <c r="C13" s="34">
        <v>4</v>
      </c>
      <c r="D13" s="127">
        <f>C13*(B13-A13)/365</f>
        <v>1.5342465753424657</v>
      </c>
    </row>
    <row r="14" spans="1:6" x14ac:dyDescent="0.2">
      <c r="A14" s="126">
        <v>42979</v>
      </c>
      <c r="B14" s="126">
        <v>43100</v>
      </c>
      <c r="C14" s="34">
        <v>3</v>
      </c>
      <c r="D14" s="127">
        <f>C14*(B14-A14)/365</f>
        <v>0.9945205479452055</v>
      </c>
    </row>
    <row r="15" spans="1:6" x14ac:dyDescent="0.2">
      <c r="A15" s="126"/>
      <c r="B15" s="126"/>
      <c r="C15" s="34"/>
      <c r="D15" s="127"/>
    </row>
    <row r="16" spans="1:6" x14ac:dyDescent="0.2">
      <c r="A16" s="43" t="s">
        <v>151</v>
      </c>
      <c r="B16" s="34"/>
      <c r="C16" s="34"/>
      <c r="D16" s="97">
        <f>SUM(D18:D19)</f>
        <v>4.9863013698630141</v>
      </c>
    </row>
    <row r="17" spans="1:6" x14ac:dyDescent="0.2">
      <c r="A17" s="34" t="s">
        <v>130</v>
      </c>
      <c r="B17" s="34" t="s">
        <v>131</v>
      </c>
      <c r="C17" s="48" t="s">
        <v>24</v>
      </c>
      <c r="D17" s="48" t="s">
        <v>132</v>
      </c>
    </row>
    <row r="18" spans="1:6" x14ac:dyDescent="0.2">
      <c r="A18" s="126">
        <v>42736</v>
      </c>
      <c r="B18" s="126">
        <v>43100</v>
      </c>
      <c r="C18" s="34">
        <v>5</v>
      </c>
      <c r="D18" s="127">
        <f>C18*(B18-A18)/365</f>
        <v>4.9863013698630141</v>
      </c>
      <c r="F18" s="34" t="s">
        <v>156</v>
      </c>
    </row>
    <row r="19" spans="1:6" x14ac:dyDescent="0.2">
      <c r="A19" s="126"/>
      <c r="B19" s="126"/>
      <c r="C19" s="34"/>
      <c r="D19" s="127"/>
    </row>
    <row r="20" spans="1:6" x14ac:dyDescent="0.2">
      <c r="A20" s="43" t="s">
        <v>157</v>
      </c>
      <c r="B20" s="34"/>
      <c r="C20" s="34"/>
      <c r="D20" s="97">
        <f>SUM(D22:D23)</f>
        <v>3.989041095890411</v>
      </c>
    </row>
    <row r="21" spans="1:6" x14ac:dyDescent="0.2">
      <c r="A21" s="34" t="s">
        <v>130</v>
      </c>
      <c r="B21" s="34" t="s">
        <v>131</v>
      </c>
      <c r="C21" s="48" t="s">
        <v>24</v>
      </c>
      <c r="D21" s="48" t="s">
        <v>132</v>
      </c>
    </row>
    <row r="22" spans="1:6" x14ac:dyDescent="0.2">
      <c r="A22" s="126">
        <v>42736</v>
      </c>
      <c r="B22" s="126">
        <v>43100</v>
      </c>
      <c r="C22" s="34">
        <v>4</v>
      </c>
      <c r="D22" s="127">
        <f>C22*(B22-A22)/365</f>
        <v>3.989041095890411</v>
      </c>
      <c r="F22" s="34" t="s">
        <v>158</v>
      </c>
    </row>
    <row r="23" spans="1:6" x14ac:dyDescent="0.2">
      <c r="A23" s="126"/>
      <c r="B23" s="126"/>
      <c r="C23" s="34"/>
      <c r="D23" s="127"/>
    </row>
    <row r="24" spans="1:6" x14ac:dyDescent="0.2">
      <c r="A24" s="43" t="s">
        <v>159</v>
      </c>
      <c r="B24" s="34"/>
      <c r="C24" s="34"/>
      <c r="D24" s="97">
        <f>SUM(D26:D27)</f>
        <v>2.526027397260274</v>
      </c>
      <c r="F24" s="34"/>
    </row>
    <row r="25" spans="1:6" x14ac:dyDescent="0.2">
      <c r="A25" s="34" t="s">
        <v>130</v>
      </c>
      <c r="B25" s="34" t="s">
        <v>131</v>
      </c>
      <c r="C25" s="48" t="s">
        <v>24</v>
      </c>
      <c r="D25" s="48" t="s">
        <v>132</v>
      </c>
      <c r="F25" s="34"/>
    </row>
    <row r="26" spans="1:6" x14ac:dyDescent="0.2">
      <c r="A26" s="126">
        <v>42736</v>
      </c>
      <c r="B26" s="126">
        <v>42869</v>
      </c>
      <c r="C26" s="34">
        <v>2</v>
      </c>
      <c r="D26" s="127">
        <f>C26*(B26-A26)/365</f>
        <v>0.72876712328767124</v>
      </c>
      <c r="F26" s="34"/>
    </row>
    <row r="27" spans="1:6" x14ac:dyDescent="0.2">
      <c r="A27" s="126">
        <v>42936</v>
      </c>
      <c r="B27" s="126">
        <v>43100</v>
      </c>
      <c r="C27" s="34">
        <v>4</v>
      </c>
      <c r="D27" s="127">
        <f>C27*(B27-A27)/365</f>
        <v>1.7972602739726027</v>
      </c>
    </row>
    <row r="28" spans="1:6" x14ac:dyDescent="0.2">
      <c r="A28" s="126"/>
      <c r="B28" s="126"/>
      <c r="C28" s="34"/>
      <c r="D28" s="127"/>
    </row>
    <row r="29" spans="1:6" x14ac:dyDescent="0.2">
      <c r="A29" s="43" t="s">
        <v>171</v>
      </c>
      <c r="B29" s="34"/>
      <c r="C29" s="34"/>
      <c r="D29" s="97">
        <f>SUM(D31:D31)</f>
        <v>0.33972602739726027</v>
      </c>
    </row>
    <row r="30" spans="1:6" x14ac:dyDescent="0.2">
      <c r="A30" s="34" t="s">
        <v>130</v>
      </c>
      <c r="B30" s="34" t="s">
        <v>131</v>
      </c>
      <c r="C30" s="48" t="s">
        <v>24</v>
      </c>
      <c r="D30" s="48" t="s">
        <v>132</v>
      </c>
    </row>
    <row r="31" spans="1:6" x14ac:dyDescent="0.2">
      <c r="A31" s="126">
        <v>42736</v>
      </c>
      <c r="B31" s="126">
        <v>42767</v>
      </c>
      <c r="C31" s="34">
        <v>4</v>
      </c>
      <c r="D31" s="127">
        <f>C31*(B31-A31)/365</f>
        <v>0.33972602739726027</v>
      </c>
    </row>
    <row r="32" spans="1:6" x14ac:dyDescent="0.2">
      <c r="A32" s="126"/>
      <c r="B32" s="126"/>
      <c r="C32" s="34"/>
      <c r="D32" s="127"/>
    </row>
    <row r="33" spans="1:6" x14ac:dyDescent="0.2">
      <c r="A33" s="139" t="s">
        <v>170</v>
      </c>
      <c r="B33" s="126"/>
      <c r="C33" s="34"/>
      <c r="D33" s="97">
        <f>SUM(D35:D36)</f>
        <v>3.5945205479452058</v>
      </c>
    </row>
    <row r="34" spans="1:6" x14ac:dyDescent="0.2">
      <c r="A34" s="34" t="s">
        <v>130</v>
      </c>
      <c r="B34" s="34" t="s">
        <v>131</v>
      </c>
      <c r="C34" s="48" t="s">
        <v>24</v>
      </c>
      <c r="D34" s="48" t="s">
        <v>132</v>
      </c>
    </row>
    <row r="35" spans="1:6" x14ac:dyDescent="0.2">
      <c r="A35" s="126">
        <v>42736</v>
      </c>
      <c r="B35" s="126">
        <v>42959</v>
      </c>
      <c r="C35" s="34">
        <v>4</v>
      </c>
      <c r="D35" s="127">
        <f>C35*(B35-A35)/365</f>
        <v>2.4438356164383563</v>
      </c>
    </row>
    <row r="36" spans="1:6" x14ac:dyDescent="0.2">
      <c r="A36" s="126">
        <v>42960</v>
      </c>
      <c r="B36" s="126">
        <v>43100</v>
      </c>
      <c r="C36" s="34">
        <v>3</v>
      </c>
      <c r="D36" s="127">
        <f>C36*(B36-A36)/365</f>
        <v>1.1506849315068493</v>
      </c>
    </row>
    <row r="37" spans="1:6" x14ac:dyDescent="0.2">
      <c r="F37" s="34"/>
    </row>
    <row r="38" spans="1:6" x14ac:dyDescent="0.2">
      <c r="A38" s="122"/>
      <c r="D38" s="123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E28" sqref="E28"/>
    </sheetView>
  </sheetViews>
  <sheetFormatPr defaultRowHeight="12.75" x14ac:dyDescent="0.2"/>
  <cols>
    <col min="1" max="1" width="19.7109375" customWidth="1"/>
    <col min="2" max="2" width="2.7109375" customWidth="1"/>
    <col min="3" max="4" width="12.7109375" customWidth="1"/>
    <col min="5" max="5" width="13.7109375" customWidth="1"/>
    <col min="6" max="6" width="15.7109375" customWidth="1"/>
    <col min="9" max="9" width="8.5703125" customWidth="1"/>
    <col min="10" max="10" width="8.42578125" customWidth="1"/>
  </cols>
  <sheetData>
    <row r="1" spans="1:10" ht="18" x14ac:dyDescent="0.25">
      <c r="A1" s="93" t="s">
        <v>134</v>
      </c>
    </row>
    <row r="2" spans="1:10" ht="13.5" thickBot="1" x14ac:dyDescent="0.25"/>
    <row r="3" spans="1:10" x14ac:dyDescent="0.2">
      <c r="A3" s="49"/>
      <c r="B3" s="50"/>
      <c r="C3" s="77" t="s">
        <v>57</v>
      </c>
      <c r="D3" s="77" t="s">
        <v>57</v>
      </c>
      <c r="E3" s="77" t="s">
        <v>136</v>
      </c>
      <c r="F3" s="77" t="s">
        <v>58</v>
      </c>
      <c r="G3" s="51"/>
      <c r="H3" s="51"/>
      <c r="J3" s="52"/>
    </row>
    <row r="4" spans="1:10" x14ac:dyDescent="0.2">
      <c r="A4" s="53"/>
      <c r="B4" s="54"/>
      <c r="C4" s="83">
        <v>42736</v>
      </c>
      <c r="D4" s="83">
        <v>43101</v>
      </c>
      <c r="E4" s="78"/>
      <c r="F4" s="78" t="s">
        <v>43</v>
      </c>
    </row>
    <row r="5" spans="1:10" x14ac:dyDescent="0.2">
      <c r="A5" s="55"/>
      <c r="B5" s="56"/>
      <c r="C5" s="79"/>
      <c r="D5" s="79"/>
      <c r="E5" s="56"/>
      <c r="F5" s="57"/>
    </row>
    <row r="6" spans="1:10" x14ac:dyDescent="0.2">
      <c r="A6" s="58" t="s">
        <v>59</v>
      </c>
      <c r="B6" s="56"/>
      <c r="C6" s="135">
        <v>22994</v>
      </c>
      <c r="D6" s="135">
        <f>18729+6846</f>
        <v>25575</v>
      </c>
      <c r="E6">
        <f>D6-C6+G6</f>
        <v>2581</v>
      </c>
      <c r="F6" s="57">
        <f>(D6-C6+G6)/(D$4-C$4)</f>
        <v>7.0712328767123287</v>
      </c>
      <c r="G6" s="59"/>
      <c r="H6" s="60"/>
    </row>
    <row r="7" spans="1:10" x14ac:dyDescent="0.2">
      <c r="A7" s="73" t="s">
        <v>60</v>
      </c>
      <c r="B7" s="56"/>
      <c r="C7" s="135">
        <v>2715</v>
      </c>
      <c r="D7" s="135">
        <v>2767</v>
      </c>
      <c r="E7">
        <f>D7-C7</f>
        <v>52</v>
      </c>
      <c r="F7" s="57">
        <f>(D7-C7)/(D$4-C$4)</f>
        <v>0.14246575342465753</v>
      </c>
      <c r="H7" s="60"/>
      <c r="I7" s="62"/>
    </row>
    <row r="8" spans="1:10" x14ac:dyDescent="0.2">
      <c r="A8" s="73"/>
      <c r="B8" s="56"/>
      <c r="F8" s="57"/>
      <c r="H8" s="60"/>
    </row>
    <row r="9" spans="1:10" x14ac:dyDescent="0.2">
      <c r="A9" s="73" t="s">
        <v>61</v>
      </c>
      <c r="B9" s="56"/>
      <c r="F9" s="57"/>
      <c r="H9" s="60"/>
    </row>
    <row r="10" spans="1:10" x14ac:dyDescent="0.2">
      <c r="A10" s="73"/>
      <c r="B10" s="56"/>
      <c r="F10" s="61"/>
      <c r="H10" s="60"/>
    </row>
    <row r="11" spans="1:10" x14ac:dyDescent="0.2">
      <c r="A11" s="75" t="s">
        <v>62</v>
      </c>
      <c r="B11" s="53"/>
      <c r="C11" s="85">
        <v>5693</v>
      </c>
      <c r="D11" s="117">
        <v>6012</v>
      </c>
      <c r="E11" s="53">
        <f t="shared" ref="E11:E22" si="0">D11-C11</f>
        <v>319</v>
      </c>
      <c r="F11" s="61">
        <f>(E11)/(D$4-C$4)</f>
        <v>0.87397260273972599</v>
      </c>
      <c r="H11" s="60"/>
    </row>
    <row r="12" spans="1:10" x14ac:dyDescent="0.2">
      <c r="A12" s="75" t="s">
        <v>63</v>
      </c>
      <c r="B12" s="53"/>
      <c r="C12" s="85">
        <v>4691</v>
      </c>
      <c r="D12" s="117">
        <v>4904</v>
      </c>
      <c r="E12" s="53">
        <f t="shared" si="0"/>
        <v>213</v>
      </c>
      <c r="F12" s="61">
        <f t="shared" ref="F12:F23" si="1">(E12)/(D$4-C$4)</f>
        <v>0.58356164383561648</v>
      </c>
      <c r="G12" s="3"/>
      <c r="H12" s="60"/>
    </row>
    <row r="13" spans="1:10" x14ac:dyDescent="0.2">
      <c r="A13" s="75" t="s">
        <v>64</v>
      </c>
      <c r="B13" s="53"/>
      <c r="C13" s="85">
        <v>3350</v>
      </c>
      <c r="D13" s="117">
        <v>3516</v>
      </c>
      <c r="E13" s="53">
        <f t="shared" si="0"/>
        <v>166</v>
      </c>
      <c r="F13" s="61">
        <f t="shared" si="1"/>
        <v>0.45479452054794522</v>
      </c>
      <c r="H13" s="60"/>
    </row>
    <row r="14" spans="1:10" x14ac:dyDescent="0.2">
      <c r="A14" s="75" t="s">
        <v>65</v>
      </c>
      <c r="B14" s="53"/>
      <c r="C14" s="85">
        <v>5254</v>
      </c>
      <c r="D14" s="117">
        <v>5457</v>
      </c>
      <c r="E14" s="53">
        <f t="shared" si="0"/>
        <v>203</v>
      </c>
      <c r="F14" s="61">
        <f t="shared" si="1"/>
        <v>0.55616438356164388</v>
      </c>
      <c r="H14" s="60"/>
    </row>
    <row r="15" spans="1:10" x14ac:dyDescent="0.2">
      <c r="A15" s="75" t="s">
        <v>66</v>
      </c>
      <c r="B15" s="53"/>
      <c r="C15" s="85">
        <v>5369</v>
      </c>
      <c r="D15" s="117">
        <v>5651</v>
      </c>
      <c r="E15" s="53">
        <f t="shared" si="0"/>
        <v>282</v>
      </c>
      <c r="F15" s="61">
        <f t="shared" si="1"/>
        <v>0.77260273972602744</v>
      </c>
      <c r="H15" s="60"/>
    </row>
    <row r="16" spans="1:10" x14ac:dyDescent="0.2">
      <c r="A16" s="74" t="s">
        <v>67</v>
      </c>
      <c r="B16" s="53"/>
      <c r="C16" s="85">
        <v>4621</v>
      </c>
      <c r="D16" s="117">
        <v>4835</v>
      </c>
      <c r="E16" s="53">
        <f t="shared" si="0"/>
        <v>214</v>
      </c>
      <c r="F16" s="61">
        <f t="shared" si="1"/>
        <v>0.58630136986301373</v>
      </c>
      <c r="H16" s="60"/>
    </row>
    <row r="17" spans="1:9" x14ac:dyDescent="0.2">
      <c r="A17" s="74" t="s">
        <v>68</v>
      </c>
      <c r="B17" s="53"/>
      <c r="C17" s="85">
        <v>5040</v>
      </c>
      <c r="D17" s="117">
        <v>5320</v>
      </c>
      <c r="E17" s="53">
        <f t="shared" si="0"/>
        <v>280</v>
      </c>
      <c r="F17" s="61">
        <f t="shared" si="1"/>
        <v>0.76712328767123283</v>
      </c>
      <c r="H17" s="60"/>
    </row>
    <row r="18" spans="1:9" x14ac:dyDescent="0.2">
      <c r="A18" s="74" t="s">
        <v>69</v>
      </c>
      <c r="B18" s="53"/>
      <c r="C18" s="85">
        <v>4565</v>
      </c>
      <c r="D18" s="117">
        <v>4816</v>
      </c>
      <c r="E18" s="53">
        <f t="shared" si="0"/>
        <v>251</v>
      </c>
      <c r="F18" s="61">
        <f t="shared" si="1"/>
        <v>0.68767123287671228</v>
      </c>
      <c r="H18" s="60"/>
    </row>
    <row r="19" spans="1:9" x14ac:dyDescent="0.2">
      <c r="A19" s="74">
        <v>24</v>
      </c>
      <c r="B19" s="53"/>
      <c r="C19" s="85">
        <v>334</v>
      </c>
      <c r="D19" s="117">
        <f>358+11</f>
        <v>369</v>
      </c>
      <c r="E19" s="136">
        <f>0-C19+D19</f>
        <v>35</v>
      </c>
      <c r="F19" s="61">
        <f t="shared" si="1"/>
        <v>9.5890410958904104E-2</v>
      </c>
      <c r="H19" s="60" t="s">
        <v>168</v>
      </c>
    </row>
    <row r="20" spans="1:9" x14ac:dyDescent="0.2">
      <c r="A20" s="74">
        <v>25</v>
      </c>
      <c r="B20" s="53"/>
      <c r="C20" s="85">
        <v>173</v>
      </c>
      <c r="D20" s="117">
        <f>190+13</f>
        <v>203</v>
      </c>
      <c r="E20" s="136">
        <f>0-C20+D20</f>
        <v>30</v>
      </c>
      <c r="F20" s="61">
        <f t="shared" si="1"/>
        <v>8.2191780821917804E-2</v>
      </c>
      <c r="H20" s="60" t="s">
        <v>169</v>
      </c>
    </row>
    <row r="21" spans="1:9" x14ac:dyDescent="0.2">
      <c r="A21" s="74" t="s">
        <v>70</v>
      </c>
      <c r="B21" s="53"/>
      <c r="C21" s="85">
        <v>8040</v>
      </c>
      <c r="D21" s="117">
        <v>8265</v>
      </c>
      <c r="E21" s="53">
        <f t="shared" si="0"/>
        <v>225</v>
      </c>
      <c r="F21" s="61">
        <f t="shared" si="1"/>
        <v>0.61643835616438358</v>
      </c>
      <c r="H21" s="60"/>
    </row>
    <row r="22" spans="1:9" x14ac:dyDescent="0.2">
      <c r="A22" s="73">
        <v>27</v>
      </c>
      <c r="B22" s="56"/>
      <c r="C22" s="84">
        <v>13806</v>
      </c>
      <c r="D22" s="116">
        <v>14213</v>
      </c>
      <c r="E22" s="56">
        <f t="shared" si="0"/>
        <v>407</v>
      </c>
      <c r="F22" s="61">
        <f t="shared" si="1"/>
        <v>1.1150684931506849</v>
      </c>
      <c r="H22" s="60"/>
    </row>
    <row r="23" spans="1:9" ht="13.5" thickBot="1" x14ac:dyDescent="0.25">
      <c r="A23" s="76" t="s">
        <v>71</v>
      </c>
      <c r="B23" s="63"/>
      <c r="C23" s="80">
        <f>SUM(C11:C22)</f>
        <v>60936</v>
      </c>
      <c r="D23" s="118">
        <f>SUM(D11:D22)</f>
        <v>63561</v>
      </c>
      <c r="E23" s="64">
        <f>SUM(E11:E22)</f>
        <v>2625</v>
      </c>
      <c r="F23" s="65">
        <f t="shared" si="1"/>
        <v>7.1917808219178081</v>
      </c>
      <c r="H23" s="1"/>
      <c r="I23" s="20"/>
    </row>
    <row r="24" spans="1:9" x14ac:dyDescent="0.2">
      <c r="A24" s="73"/>
      <c r="C24" s="43"/>
      <c r="D24" s="119"/>
    </row>
    <row r="25" spans="1:9" x14ac:dyDescent="0.2">
      <c r="A25" s="34" t="s">
        <v>72</v>
      </c>
      <c r="C25" s="120">
        <f>C21-C7</f>
        <v>5325</v>
      </c>
      <c r="D25" s="120">
        <f>D21-D7</f>
        <v>5498</v>
      </c>
      <c r="E25">
        <f>E21-E7</f>
        <v>173</v>
      </c>
      <c r="F25" s="66">
        <f>E25/(D$4-C$4)</f>
        <v>0.47397260273972602</v>
      </c>
      <c r="H25" s="60" t="s">
        <v>73</v>
      </c>
      <c r="I25" s="20"/>
    </row>
    <row r="26" spans="1:9" x14ac:dyDescent="0.2">
      <c r="A26" s="73" t="s">
        <v>74</v>
      </c>
      <c r="C26" s="86">
        <v>431.4</v>
      </c>
      <c r="D26" s="121">
        <v>466.4</v>
      </c>
      <c r="E26" s="56">
        <f>D26-C26</f>
        <v>35</v>
      </c>
      <c r="F26" s="57">
        <f>(D26-C26)/(D$4-C$4)</f>
        <v>9.5890410958904104E-2</v>
      </c>
      <c r="H26" t="s">
        <v>75</v>
      </c>
    </row>
    <row r="27" spans="1:9" ht="13.5" customHeight="1" x14ac:dyDescent="0.2">
      <c r="A27" s="73"/>
    </row>
    <row r="28" spans="1:9" ht="13.5" customHeight="1" x14ac:dyDescent="0.2">
      <c r="A28" s="73" t="s">
        <v>76</v>
      </c>
      <c r="E28" s="21">
        <f>E23-E7</f>
        <v>2573</v>
      </c>
      <c r="F28" s="57">
        <f>F23-F7</f>
        <v>7.0493150684931507</v>
      </c>
    </row>
    <row r="29" spans="1:9" x14ac:dyDescent="0.2">
      <c r="A29" s="73" t="s">
        <v>135</v>
      </c>
      <c r="D29" s="21"/>
      <c r="E29" s="21">
        <f>E6-E23</f>
        <v>-44</v>
      </c>
      <c r="F29" s="66">
        <f>F6-F23</f>
        <v>-0.1205479452054794</v>
      </c>
      <c r="H29" s="60"/>
    </row>
    <row r="30" spans="1:9" x14ac:dyDescent="0.2">
      <c r="A30" s="73" t="s">
        <v>77</v>
      </c>
      <c r="E30" s="67">
        <f>(E23-E22-E13-E7)/8</f>
        <v>250</v>
      </c>
      <c r="F30" s="66">
        <f>(F23-F22-F13)-F7/8</f>
        <v>5.6041095890410961</v>
      </c>
    </row>
    <row r="31" spans="1:9" x14ac:dyDescent="0.2">
      <c r="A31" s="34"/>
    </row>
    <row r="34" spans="1:3" x14ac:dyDescent="0.2">
      <c r="A34" t="s">
        <v>78</v>
      </c>
    </row>
    <row r="37" spans="1:3" x14ac:dyDescent="0.2">
      <c r="A37" t="s">
        <v>137</v>
      </c>
      <c r="C37">
        <v>45837</v>
      </c>
    </row>
    <row r="38" spans="1:3" x14ac:dyDescent="0.2">
      <c r="A38" t="s">
        <v>138</v>
      </c>
      <c r="C38">
        <v>9952</v>
      </c>
    </row>
  </sheetData>
  <phoneticPr fontId="8" type="noConversion"/>
  <pageMargins left="0.75" right="0.75" top="1" bottom="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L47" sqref="L47"/>
    </sheetView>
  </sheetViews>
  <sheetFormatPr defaultRowHeight="12.75" x14ac:dyDescent="0.2"/>
  <cols>
    <col min="1" max="1" width="11" style="129" customWidth="1"/>
    <col min="2" max="2" width="4.140625" style="129" customWidth="1"/>
    <col min="3" max="3" width="21.85546875" style="129" customWidth="1"/>
    <col min="4" max="4" width="7.42578125" style="130" customWidth="1"/>
    <col min="5" max="5" width="11.7109375" style="130" customWidth="1"/>
    <col min="6" max="6" width="14.140625" style="130" customWidth="1"/>
    <col min="7" max="7" width="11.7109375" style="130" customWidth="1"/>
    <col min="8" max="8" width="14.7109375" style="130" customWidth="1"/>
    <col min="9" max="16384" width="9.140625" style="129"/>
  </cols>
  <sheetData>
    <row r="2" spans="1:8" ht="15" x14ac:dyDescent="0.25">
      <c r="A2" s="143" t="s">
        <v>84</v>
      </c>
      <c r="B2" s="144"/>
      <c r="C2" s="144"/>
      <c r="D2" s="145"/>
      <c r="E2" s="145"/>
      <c r="F2" s="145"/>
      <c r="G2" s="145"/>
      <c r="H2" s="145"/>
    </row>
    <row r="3" spans="1:8" ht="15" x14ac:dyDescent="0.25">
      <c r="A3" s="143" t="s">
        <v>139</v>
      </c>
      <c r="B3" s="144"/>
      <c r="C3" s="144"/>
      <c r="D3" s="145"/>
      <c r="E3" s="145"/>
      <c r="F3" s="145"/>
      <c r="G3" s="145"/>
      <c r="H3" s="145"/>
    </row>
    <row r="4" spans="1:8" ht="15" x14ac:dyDescent="0.25">
      <c r="A4" s="143" t="s">
        <v>167</v>
      </c>
      <c r="B4" s="144"/>
      <c r="C4" s="144"/>
      <c r="D4" s="145"/>
      <c r="E4" s="145"/>
      <c r="F4" s="145"/>
      <c r="G4" s="145"/>
      <c r="H4" s="145"/>
    </row>
    <row r="5" spans="1:8" x14ac:dyDescent="0.2">
      <c r="A5" s="144" t="s">
        <v>152</v>
      </c>
      <c r="B5" s="144"/>
      <c r="C5" s="144"/>
      <c r="D5" s="145"/>
      <c r="E5" s="145"/>
      <c r="F5" s="145"/>
      <c r="G5" s="145"/>
      <c r="H5" s="145"/>
    </row>
    <row r="6" spans="1:8" ht="15" x14ac:dyDescent="0.25">
      <c r="A6" s="128" t="s">
        <v>93</v>
      </c>
      <c r="B6" s="128" t="s">
        <v>94</v>
      </c>
      <c r="C6" s="128" t="s">
        <v>95</v>
      </c>
      <c r="D6" s="131" t="s">
        <v>24</v>
      </c>
      <c r="E6" s="131" t="s">
        <v>96</v>
      </c>
      <c r="F6" s="131" t="s">
        <v>97</v>
      </c>
      <c r="G6" s="131" t="s">
        <v>98</v>
      </c>
      <c r="H6" s="131" t="s">
        <v>99</v>
      </c>
    </row>
    <row r="7" spans="1:8" x14ac:dyDescent="0.2">
      <c r="A7" s="129" t="s">
        <v>153</v>
      </c>
      <c r="B7" s="129">
        <v>3</v>
      </c>
      <c r="C7" s="129" t="s">
        <v>101</v>
      </c>
      <c r="D7" s="132">
        <v>6</v>
      </c>
      <c r="E7" s="132">
        <v>8988</v>
      </c>
      <c r="F7" s="132">
        <v>0</v>
      </c>
      <c r="G7" s="132">
        <v>8988</v>
      </c>
      <c r="H7" s="133">
        <v>1</v>
      </c>
    </row>
    <row r="8" spans="1:8" x14ac:dyDescent="0.2">
      <c r="A8" s="129" t="s">
        <v>153</v>
      </c>
      <c r="B8" s="129">
        <v>4</v>
      </c>
      <c r="C8" s="129" t="s">
        <v>102</v>
      </c>
      <c r="D8" s="132">
        <v>6</v>
      </c>
      <c r="E8" s="132">
        <v>2250</v>
      </c>
      <c r="F8" s="132">
        <v>0</v>
      </c>
      <c r="G8" s="132">
        <v>2250</v>
      </c>
      <c r="H8" s="133">
        <v>1</v>
      </c>
    </row>
    <row r="9" spans="1:8" x14ac:dyDescent="0.2">
      <c r="A9" s="129" t="s">
        <v>153</v>
      </c>
      <c r="B9" s="129">
        <v>5</v>
      </c>
      <c r="C9" s="129" t="s">
        <v>103</v>
      </c>
      <c r="D9" s="132">
        <v>6</v>
      </c>
      <c r="E9" s="132">
        <v>6781</v>
      </c>
      <c r="F9" s="132">
        <v>0</v>
      </c>
      <c r="G9" s="132">
        <v>6781</v>
      </c>
      <c r="H9" s="133">
        <v>1</v>
      </c>
    </row>
    <row r="10" spans="1:8" x14ac:dyDescent="0.2">
      <c r="A10" s="129" t="s">
        <v>153</v>
      </c>
      <c r="B10" s="129">
        <v>6</v>
      </c>
      <c r="C10" s="129" t="s">
        <v>104</v>
      </c>
      <c r="D10" s="132">
        <v>6</v>
      </c>
      <c r="E10" s="132">
        <v>3551</v>
      </c>
      <c r="F10" s="132">
        <v>0</v>
      </c>
      <c r="G10" s="132">
        <v>3551</v>
      </c>
      <c r="H10" s="133">
        <v>1</v>
      </c>
    </row>
    <row r="11" spans="1:8" x14ac:dyDescent="0.2">
      <c r="A11" s="129" t="s">
        <v>153</v>
      </c>
      <c r="B11" s="129">
        <v>7</v>
      </c>
      <c r="C11" s="129" t="s">
        <v>105</v>
      </c>
      <c r="D11" s="132">
        <v>6</v>
      </c>
      <c r="E11" s="132">
        <v>3303</v>
      </c>
      <c r="F11" s="132">
        <v>0</v>
      </c>
      <c r="G11" s="132">
        <v>3303</v>
      </c>
      <c r="H11" s="133">
        <v>1</v>
      </c>
    </row>
    <row r="12" spans="1:8" x14ac:dyDescent="0.2">
      <c r="A12" s="129" t="s">
        <v>153</v>
      </c>
      <c r="B12" s="129">
        <v>8</v>
      </c>
      <c r="C12" s="129" t="s">
        <v>106</v>
      </c>
      <c r="D12" s="132">
        <v>6</v>
      </c>
      <c r="E12" s="132">
        <v>4956</v>
      </c>
      <c r="F12" s="132">
        <v>0</v>
      </c>
      <c r="G12" s="132">
        <v>4956</v>
      </c>
      <c r="H12" s="133">
        <v>1</v>
      </c>
    </row>
    <row r="13" spans="1:8" x14ac:dyDescent="0.2">
      <c r="A13" s="129" t="s">
        <v>153</v>
      </c>
      <c r="B13" s="129">
        <v>9</v>
      </c>
      <c r="C13" s="129" t="s">
        <v>107</v>
      </c>
      <c r="D13" s="132">
        <v>6</v>
      </c>
      <c r="E13" s="132">
        <v>3969</v>
      </c>
      <c r="F13" s="132">
        <v>0</v>
      </c>
      <c r="G13" s="132">
        <v>3969</v>
      </c>
      <c r="H13" s="133">
        <v>1</v>
      </c>
    </row>
    <row r="14" spans="1:8" x14ac:dyDescent="0.2">
      <c r="A14" s="129" t="s">
        <v>153</v>
      </c>
      <c r="B14" s="129">
        <v>10</v>
      </c>
      <c r="C14" s="129" t="s">
        <v>108</v>
      </c>
      <c r="D14" s="132">
        <v>6</v>
      </c>
      <c r="E14" s="132">
        <v>5959</v>
      </c>
      <c r="F14" s="132">
        <v>0</v>
      </c>
      <c r="G14" s="132">
        <v>5959</v>
      </c>
      <c r="H14" s="133">
        <v>1</v>
      </c>
    </row>
    <row r="15" spans="1:8" x14ac:dyDescent="0.2">
      <c r="A15" s="129" t="s">
        <v>153</v>
      </c>
      <c r="B15" s="129">
        <v>11</v>
      </c>
      <c r="C15" s="129" t="s">
        <v>109</v>
      </c>
      <c r="D15" s="132">
        <v>6</v>
      </c>
      <c r="E15" s="132">
        <v>3712</v>
      </c>
      <c r="F15" s="132">
        <v>0</v>
      </c>
      <c r="G15" s="132">
        <v>3712</v>
      </c>
      <c r="H15" s="133">
        <v>1</v>
      </c>
    </row>
    <row r="16" spans="1:8" x14ac:dyDescent="0.2">
      <c r="A16" s="129" t="s">
        <v>153</v>
      </c>
      <c r="B16" s="129">
        <v>12</v>
      </c>
      <c r="C16" s="129" t="s">
        <v>110</v>
      </c>
      <c r="D16" s="132">
        <v>6</v>
      </c>
      <c r="E16" s="132">
        <v>3712</v>
      </c>
      <c r="F16" s="132">
        <v>0</v>
      </c>
      <c r="G16" s="132">
        <v>3712</v>
      </c>
      <c r="H16" s="133">
        <v>1</v>
      </c>
    </row>
    <row r="17" spans="1:8" x14ac:dyDescent="0.2">
      <c r="A17" s="129" t="s">
        <v>153</v>
      </c>
      <c r="B17" s="129">
        <v>13</v>
      </c>
      <c r="C17" s="129" t="s">
        <v>111</v>
      </c>
      <c r="D17" s="132">
        <v>6</v>
      </c>
      <c r="E17" s="132">
        <v>3957</v>
      </c>
      <c r="F17" s="132">
        <v>0</v>
      </c>
      <c r="G17" s="132">
        <v>3957</v>
      </c>
      <c r="H17" s="133">
        <v>1</v>
      </c>
    </row>
    <row r="18" spans="1:8" x14ac:dyDescent="0.2">
      <c r="A18" s="129" t="s">
        <v>153</v>
      </c>
      <c r="B18" s="129">
        <v>14</v>
      </c>
      <c r="C18" s="129" t="s">
        <v>112</v>
      </c>
      <c r="D18" s="132">
        <v>6</v>
      </c>
      <c r="E18" s="132">
        <v>5694</v>
      </c>
      <c r="F18" s="132">
        <v>0</v>
      </c>
      <c r="G18" s="132">
        <v>5694</v>
      </c>
      <c r="H18" s="133">
        <v>1</v>
      </c>
    </row>
    <row r="19" spans="1:8" x14ac:dyDescent="0.2">
      <c r="A19" s="129" t="s">
        <v>153</v>
      </c>
      <c r="B19" s="129">
        <v>15</v>
      </c>
      <c r="C19" s="129" t="s">
        <v>113</v>
      </c>
      <c r="D19" s="132">
        <v>6</v>
      </c>
      <c r="E19" s="132">
        <v>3781</v>
      </c>
      <c r="F19" s="132">
        <v>0</v>
      </c>
      <c r="G19" s="132">
        <v>3781</v>
      </c>
      <c r="H19" s="133">
        <v>1</v>
      </c>
    </row>
    <row r="20" spans="1:8" x14ac:dyDescent="0.2">
      <c r="A20" s="129" t="s">
        <v>153</v>
      </c>
      <c r="B20" s="129">
        <v>16</v>
      </c>
      <c r="C20" s="129" t="s">
        <v>114</v>
      </c>
      <c r="D20" s="132">
        <v>6</v>
      </c>
      <c r="E20" s="132">
        <v>7191</v>
      </c>
      <c r="F20" s="132">
        <v>0</v>
      </c>
      <c r="G20" s="132">
        <v>7191</v>
      </c>
      <c r="H20" s="133">
        <v>1</v>
      </c>
    </row>
    <row r="21" spans="1:8" x14ac:dyDescent="0.2">
      <c r="A21" s="129" t="s">
        <v>153</v>
      </c>
      <c r="B21" s="129">
        <v>17</v>
      </c>
      <c r="C21" s="129" t="s">
        <v>115</v>
      </c>
      <c r="D21" s="132">
        <v>6</v>
      </c>
      <c r="E21" s="132">
        <v>8846</v>
      </c>
      <c r="F21" s="132">
        <v>0</v>
      </c>
      <c r="G21" s="132">
        <v>8846</v>
      </c>
      <c r="H21" s="133">
        <v>1</v>
      </c>
    </row>
    <row r="22" spans="1:8" x14ac:dyDescent="0.2">
      <c r="A22" s="129" t="s">
        <v>153</v>
      </c>
      <c r="B22" s="129">
        <v>18</v>
      </c>
      <c r="C22" s="129" t="s">
        <v>116</v>
      </c>
      <c r="D22" s="132">
        <v>6</v>
      </c>
      <c r="E22" s="132">
        <v>4020</v>
      </c>
      <c r="F22" s="132">
        <v>0</v>
      </c>
      <c r="G22" s="132">
        <v>4020</v>
      </c>
      <c r="H22" s="133">
        <v>1</v>
      </c>
    </row>
    <row r="23" spans="1:8" x14ac:dyDescent="0.2">
      <c r="A23" s="129" t="s">
        <v>153</v>
      </c>
      <c r="B23" s="129">
        <v>19</v>
      </c>
      <c r="C23" s="129" t="s">
        <v>117</v>
      </c>
      <c r="D23" s="132">
        <v>6</v>
      </c>
      <c r="E23" s="132">
        <v>4020</v>
      </c>
      <c r="F23" s="132">
        <v>0</v>
      </c>
      <c r="G23" s="132">
        <v>4020</v>
      </c>
      <c r="H23" s="133">
        <v>1</v>
      </c>
    </row>
    <row r="24" spans="1:8" x14ac:dyDescent="0.2">
      <c r="A24" s="129" t="s">
        <v>153</v>
      </c>
      <c r="B24" s="129">
        <v>20</v>
      </c>
      <c r="C24" s="129" t="s">
        <v>118</v>
      </c>
      <c r="D24" s="132">
        <v>6</v>
      </c>
      <c r="E24" s="132">
        <v>8087</v>
      </c>
      <c r="F24" s="132">
        <v>0</v>
      </c>
      <c r="G24" s="132">
        <v>8087</v>
      </c>
      <c r="H24" s="133">
        <v>1</v>
      </c>
    </row>
    <row r="25" spans="1:8" x14ac:dyDescent="0.2">
      <c r="A25" s="129" t="s">
        <v>153</v>
      </c>
      <c r="B25" s="129">
        <v>21</v>
      </c>
      <c r="C25" s="129" t="s">
        <v>119</v>
      </c>
      <c r="D25" s="132">
        <v>6</v>
      </c>
      <c r="E25" s="132">
        <v>4826</v>
      </c>
      <c r="F25" s="132">
        <v>0</v>
      </c>
      <c r="G25" s="132">
        <v>4826</v>
      </c>
      <c r="H25" s="133">
        <v>1</v>
      </c>
    </row>
    <row r="26" spans="1:8" x14ac:dyDescent="0.2">
      <c r="A26" s="129" t="s">
        <v>153</v>
      </c>
      <c r="B26" s="129">
        <v>22</v>
      </c>
      <c r="C26" s="129" t="s">
        <v>120</v>
      </c>
      <c r="D26" s="132">
        <v>6</v>
      </c>
      <c r="E26" s="132">
        <v>5552</v>
      </c>
      <c r="F26" s="132">
        <v>0</v>
      </c>
      <c r="G26" s="132">
        <v>5552</v>
      </c>
      <c r="H26" s="133">
        <v>1</v>
      </c>
    </row>
    <row r="27" spans="1:8" x14ac:dyDescent="0.2">
      <c r="A27" s="129" t="s">
        <v>153</v>
      </c>
      <c r="B27" s="129">
        <v>23</v>
      </c>
      <c r="C27" s="129" t="s">
        <v>121</v>
      </c>
      <c r="D27" s="132">
        <v>6</v>
      </c>
      <c r="E27" s="132">
        <v>6174</v>
      </c>
      <c r="F27" s="132">
        <v>0</v>
      </c>
      <c r="G27" s="132">
        <v>6174</v>
      </c>
      <c r="H27" s="133">
        <v>1</v>
      </c>
    </row>
    <row r="28" spans="1:8" x14ac:dyDescent="0.2">
      <c r="A28" s="129" t="s">
        <v>153</v>
      </c>
      <c r="B28" s="129">
        <v>24</v>
      </c>
      <c r="C28" s="129" t="s">
        <v>122</v>
      </c>
      <c r="D28" s="132">
        <v>6</v>
      </c>
      <c r="E28" s="132">
        <v>3161</v>
      </c>
      <c r="F28" s="132">
        <v>0</v>
      </c>
      <c r="G28" s="132">
        <v>3161</v>
      </c>
      <c r="H28" s="133">
        <v>1</v>
      </c>
    </row>
    <row r="29" spans="1:8" x14ac:dyDescent="0.2">
      <c r="A29" s="129" t="s">
        <v>153</v>
      </c>
      <c r="B29" s="129">
        <v>25</v>
      </c>
      <c r="C29" s="129" t="s">
        <v>123</v>
      </c>
      <c r="D29" s="132">
        <v>6</v>
      </c>
      <c r="E29" s="132">
        <v>6051</v>
      </c>
      <c r="F29" s="132">
        <v>0</v>
      </c>
      <c r="G29" s="132">
        <v>6051</v>
      </c>
      <c r="H29" s="133">
        <v>1</v>
      </c>
    </row>
    <row r="30" spans="1:8" x14ac:dyDescent="0.2">
      <c r="A30" s="129" t="s">
        <v>153</v>
      </c>
      <c r="B30" s="129">
        <v>26</v>
      </c>
      <c r="C30" s="129" t="s">
        <v>124</v>
      </c>
      <c r="D30" s="132">
        <v>6</v>
      </c>
      <c r="E30" s="132">
        <v>5551</v>
      </c>
      <c r="F30" s="132">
        <v>0</v>
      </c>
      <c r="G30" s="132">
        <v>5551</v>
      </c>
      <c r="H30" s="133">
        <v>1</v>
      </c>
    </row>
    <row r="31" spans="1:8" x14ac:dyDescent="0.2">
      <c r="A31" s="129" t="s">
        <v>153</v>
      </c>
      <c r="B31" s="129">
        <v>27</v>
      </c>
      <c r="C31" s="129" t="s">
        <v>125</v>
      </c>
      <c r="D31" s="132">
        <v>6</v>
      </c>
      <c r="E31" s="132">
        <v>3366</v>
      </c>
      <c r="F31" s="132">
        <v>0</v>
      </c>
      <c r="G31" s="132">
        <v>3366</v>
      </c>
      <c r="H31" s="133">
        <v>1</v>
      </c>
    </row>
    <row r="32" spans="1:8" x14ac:dyDescent="0.2">
      <c r="A32" s="129" t="s">
        <v>153</v>
      </c>
      <c r="B32" s="129">
        <v>28</v>
      </c>
      <c r="C32" s="129" t="s">
        <v>126</v>
      </c>
      <c r="D32" s="132">
        <v>2</v>
      </c>
      <c r="E32" s="132">
        <v>1332</v>
      </c>
      <c r="F32" s="132">
        <v>0</v>
      </c>
      <c r="G32" s="132">
        <v>1332</v>
      </c>
      <c r="H32" s="133">
        <v>1</v>
      </c>
    </row>
    <row r="33" spans="1:8" x14ac:dyDescent="0.2">
      <c r="A33" s="129" t="s">
        <v>153</v>
      </c>
      <c r="B33" s="129">
        <v>29</v>
      </c>
      <c r="C33" s="129" t="s">
        <v>127</v>
      </c>
      <c r="D33" s="132">
        <v>6</v>
      </c>
      <c r="E33" s="132">
        <v>6291</v>
      </c>
      <c r="F33" s="132">
        <v>0</v>
      </c>
      <c r="G33" s="132">
        <v>6291</v>
      </c>
      <c r="H33" s="133">
        <v>1</v>
      </c>
    </row>
    <row r="34" spans="1:8" ht="15" x14ac:dyDescent="0.25">
      <c r="A34" s="128" t="s">
        <v>154</v>
      </c>
      <c r="B34" s="129" t="s">
        <v>165</v>
      </c>
      <c r="C34" s="129" t="s">
        <v>165</v>
      </c>
      <c r="D34" s="114">
        <v>158</v>
      </c>
      <c r="E34" s="114">
        <v>135081</v>
      </c>
      <c r="F34" s="114">
        <v>0</v>
      </c>
      <c r="G34" s="114">
        <v>135081</v>
      </c>
      <c r="H34" s="115">
        <v>1</v>
      </c>
    </row>
    <row r="35" spans="1:8" ht="15" x14ac:dyDescent="0.25">
      <c r="A35" s="128" t="s">
        <v>128</v>
      </c>
      <c r="B35" s="129" t="s">
        <v>165</v>
      </c>
      <c r="C35" s="129" t="s">
        <v>165</v>
      </c>
      <c r="D35" s="114">
        <v>158</v>
      </c>
      <c r="E35" s="114">
        <v>135081</v>
      </c>
      <c r="F35" s="114">
        <v>0</v>
      </c>
      <c r="G35" s="114">
        <v>135081</v>
      </c>
      <c r="H35" s="115">
        <v>1</v>
      </c>
    </row>
  </sheetData>
  <mergeCells count="4">
    <mergeCell ref="A2:H2"/>
    <mergeCell ref="A3:H3"/>
    <mergeCell ref="A4:H4"/>
    <mergeCell ref="A5:H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J17" sqref="J17"/>
    </sheetView>
  </sheetViews>
  <sheetFormatPr defaultRowHeight="12.75" x14ac:dyDescent="0.2"/>
  <cols>
    <col min="1" max="1" width="6.28515625" customWidth="1"/>
    <col min="2" max="2" width="7.28515625" customWidth="1"/>
    <col min="3" max="3" width="10.28515625" bestFit="1" customWidth="1"/>
    <col min="4" max="4" width="4.5703125" bestFit="1" customWidth="1"/>
    <col min="5" max="5" width="17.28515625" customWidth="1"/>
    <col min="6" max="6" width="24.5703125" customWidth="1"/>
    <col min="7" max="7" width="5.7109375" bestFit="1" customWidth="1"/>
    <col min="8" max="8" width="5.7109375" customWidth="1"/>
    <col min="9" max="9" width="10.28515625" bestFit="1" customWidth="1"/>
    <col min="10" max="10" width="9.7109375" bestFit="1" customWidth="1"/>
    <col min="11" max="11" width="6" bestFit="1" customWidth="1"/>
  </cols>
  <sheetData>
    <row r="1" spans="1:13" s="129" customFormat="1" x14ac:dyDescent="0.2">
      <c r="I1" s="130"/>
      <c r="J1" s="130"/>
    </row>
    <row r="2" spans="1:13" s="129" customFormat="1" ht="15" x14ac:dyDescent="0.25">
      <c r="A2" s="143" t="s">
        <v>84</v>
      </c>
      <c r="B2" s="144"/>
      <c r="C2" s="144"/>
      <c r="D2" s="144"/>
      <c r="E2" s="144"/>
      <c r="F2" s="144"/>
      <c r="G2" s="144"/>
      <c r="H2" s="144"/>
      <c r="I2" s="145"/>
      <c r="J2" s="145"/>
      <c r="K2" s="144"/>
      <c r="L2" s="144"/>
      <c r="M2" s="144"/>
    </row>
    <row r="3" spans="1:13" s="129" customFormat="1" ht="15" x14ac:dyDescent="0.25">
      <c r="A3" s="143" t="s">
        <v>140</v>
      </c>
      <c r="B3" s="144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144"/>
    </row>
    <row r="4" spans="1:13" s="129" customFormat="1" ht="15" x14ac:dyDescent="0.25">
      <c r="A4" s="143" t="s">
        <v>166</v>
      </c>
      <c r="B4" s="144"/>
      <c r="C4" s="144"/>
      <c r="D4" s="144"/>
      <c r="E4" s="144"/>
      <c r="F4" s="144"/>
      <c r="G4" s="144"/>
      <c r="H4" s="144"/>
      <c r="I4" s="145"/>
      <c r="J4" s="145"/>
      <c r="K4" s="144"/>
      <c r="L4" s="144"/>
      <c r="M4" s="144"/>
    </row>
    <row r="5" spans="1:13" s="129" customFormat="1" x14ac:dyDescent="0.2">
      <c r="A5" s="144" t="s">
        <v>152</v>
      </c>
      <c r="B5" s="144"/>
      <c r="C5" s="144"/>
      <c r="D5" s="144"/>
      <c r="E5" s="144"/>
      <c r="F5" s="144"/>
      <c r="G5" s="144"/>
      <c r="H5" s="144"/>
      <c r="I5" s="145"/>
      <c r="J5" s="145"/>
      <c r="K5" s="144"/>
      <c r="L5" s="144"/>
      <c r="M5" s="144"/>
    </row>
    <row r="6" spans="1:13" s="129" customFormat="1" ht="15" x14ac:dyDescent="0.25">
      <c r="A6" s="128" t="s">
        <v>141</v>
      </c>
      <c r="B6" s="128" t="s">
        <v>95</v>
      </c>
      <c r="C6" s="128" t="s">
        <v>86</v>
      </c>
      <c r="D6" s="128" t="s">
        <v>87</v>
      </c>
      <c r="E6" s="128" t="s">
        <v>85</v>
      </c>
      <c r="F6" s="128" t="s">
        <v>88</v>
      </c>
      <c r="G6" s="128" t="s">
        <v>89</v>
      </c>
      <c r="H6" s="128" t="s">
        <v>90</v>
      </c>
      <c r="I6" s="131" t="s">
        <v>142</v>
      </c>
      <c r="J6" s="131" t="s">
        <v>143</v>
      </c>
    </row>
    <row r="7" spans="1:13" s="129" customFormat="1" x14ac:dyDescent="0.2">
      <c r="A7" s="129">
        <v>2264</v>
      </c>
      <c r="B7" s="129" t="s">
        <v>100</v>
      </c>
      <c r="C7" s="134">
        <v>42766</v>
      </c>
      <c r="D7" s="129">
        <v>34</v>
      </c>
      <c r="E7" s="129" t="s">
        <v>91</v>
      </c>
      <c r="F7" s="129" t="s">
        <v>92</v>
      </c>
      <c r="G7" s="129" t="s">
        <v>165</v>
      </c>
      <c r="H7" s="129" t="s">
        <v>165</v>
      </c>
      <c r="I7" s="132">
        <v>3114</v>
      </c>
      <c r="J7" s="132">
        <v>3114</v>
      </c>
    </row>
    <row r="8" spans="1:13" s="129" customFormat="1" x14ac:dyDescent="0.2">
      <c r="A8" s="129">
        <v>2264</v>
      </c>
      <c r="B8" s="129" t="s">
        <v>100</v>
      </c>
      <c r="C8" s="134">
        <v>42825</v>
      </c>
      <c r="D8" s="129">
        <v>35</v>
      </c>
      <c r="E8" s="129" t="s">
        <v>91</v>
      </c>
      <c r="F8" s="129" t="s">
        <v>92</v>
      </c>
      <c r="G8" s="129" t="s">
        <v>165</v>
      </c>
      <c r="H8" s="129" t="s">
        <v>165</v>
      </c>
      <c r="I8" s="132">
        <v>3114</v>
      </c>
      <c r="J8" s="132">
        <v>6228</v>
      </c>
    </row>
    <row r="9" spans="1:13" s="129" customFormat="1" x14ac:dyDescent="0.2">
      <c r="A9" s="129">
        <v>2264</v>
      </c>
      <c r="B9" s="129" t="s">
        <v>100</v>
      </c>
      <c r="C9" s="134">
        <v>42886</v>
      </c>
      <c r="D9" s="129">
        <v>36</v>
      </c>
      <c r="E9" s="129" t="s">
        <v>91</v>
      </c>
      <c r="F9" s="129" t="s">
        <v>92</v>
      </c>
      <c r="G9" s="129" t="s">
        <v>165</v>
      </c>
      <c r="H9" s="129" t="s">
        <v>165</v>
      </c>
      <c r="I9" s="132">
        <v>3114</v>
      </c>
      <c r="J9" s="132">
        <v>9342</v>
      </c>
    </row>
    <row r="10" spans="1:13" s="129" customFormat="1" x14ac:dyDescent="0.2">
      <c r="A10" s="129">
        <v>2264</v>
      </c>
      <c r="B10" s="129" t="s">
        <v>100</v>
      </c>
      <c r="C10" s="134">
        <v>42947</v>
      </c>
      <c r="D10" s="129">
        <v>37</v>
      </c>
      <c r="E10" s="129" t="s">
        <v>91</v>
      </c>
      <c r="F10" s="129" t="s">
        <v>92</v>
      </c>
      <c r="G10" s="129" t="s">
        <v>165</v>
      </c>
      <c r="H10" s="129" t="s">
        <v>165</v>
      </c>
      <c r="I10" s="132">
        <v>3114</v>
      </c>
      <c r="J10" s="132">
        <v>12456</v>
      </c>
    </row>
    <row r="11" spans="1:13" s="129" customFormat="1" x14ac:dyDescent="0.2">
      <c r="A11" s="129">
        <v>2264</v>
      </c>
      <c r="B11" s="129" t="s">
        <v>100</v>
      </c>
      <c r="C11" s="134">
        <v>43008</v>
      </c>
      <c r="D11" s="129">
        <v>38</v>
      </c>
      <c r="E11" s="129" t="s">
        <v>91</v>
      </c>
      <c r="F11" s="129" t="s">
        <v>92</v>
      </c>
      <c r="G11" s="129" t="s">
        <v>165</v>
      </c>
      <c r="H11" s="129" t="s">
        <v>165</v>
      </c>
      <c r="I11" s="132">
        <v>3114</v>
      </c>
      <c r="J11" s="132">
        <v>15570</v>
      </c>
    </row>
    <row r="12" spans="1:13" s="129" customFormat="1" x14ac:dyDescent="0.2">
      <c r="A12" s="129">
        <v>2264</v>
      </c>
      <c r="B12" s="129" t="s">
        <v>100</v>
      </c>
      <c r="C12" s="134">
        <v>43069</v>
      </c>
      <c r="D12" s="129">
        <v>39</v>
      </c>
      <c r="E12" s="129" t="s">
        <v>91</v>
      </c>
      <c r="F12" s="129" t="s">
        <v>92</v>
      </c>
      <c r="G12" s="129" t="s">
        <v>165</v>
      </c>
      <c r="H12" s="129" t="s">
        <v>165</v>
      </c>
      <c r="I12" s="132">
        <v>3114</v>
      </c>
      <c r="J12" s="132">
        <v>18684</v>
      </c>
    </row>
    <row r="13" spans="1:13" s="129" customFormat="1" x14ac:dyDescent="0.2">
      <c r="I13" s="130"/>
      <c r="J13" s="130"/>
    </row>
    <row r="14" spans="1:13" x14ac:dyDescent="0.2">
      <c r="A14" s="95"/>
      <c r="B14" s="111"/>
      <c r="C14" s="94"/>
      <c r="D14" s="95"/>
      <c r="E14" s="111"/>
      <c r="F14" s="111"/>
      <c r="G14" s="91"/>
      <c r="H14" s="91"/>
      <c r="I14" s="96"/>
      <c r="J14" s="96"/>
    </row>
    <row r="15" spans="1:13" x14ac:dyDescent="0.2">
      <c r="A15" s="95"/>
      <c r="B15" s="112"/>
      <c r="C15" s="94"/>
      <c r="D15" s="95"/>
      <c r="E15" s="112"/>
      <c r="F15" s="112"/>
      <c r="G15" s="91"/>
      <c r="H15" s="91"/>
      <c r="I15" s="96"/>
      <c r="J15" s="96"/>
    </row>
    <row r="16" spans="1:13" x14ac:dyDescent="0.2">
      <c r="J16" s="113">
        <f>J12</f>
        <v>18684</v>
      </c>
    </row>
  </sheetData>
  <mergeCells count="4">
    <mergeCell ref="A2:M2"/>
    <mergeCell ref="A3:M3"/>
    <mergeCell ref="A4:M4"/>
    <mergeCell ref="A5:M5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Vandregnskab </vt:lpstr>
      <vt:lpstr>Antal hoveder</vt:lpstr>
      <vt:lpstr>Aflæsninger</vt:lpstr>
      <vt:lpstr>a conto bofæller</vt:lpstr>
      <vt:lpstr>a conto fælleshuset</vt:lpstr>
    </vt:vector>
  </TitlesOfParts>
  <Company>NOVO NORDISK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Rasmussen</dc:creator>
  <cp:lastModifiedBy>Dan Mølholm</cp:lastModifiedBy>
  <cp:lastPrinted>2017-01-04T16:16:38Z</cp:lastPrinted>
  <dcterms:created xsi:type="dcterms:W3CDTF">2000-08-12T16:15:10Z</dcterms:created>
  <dcterms:modified xsi:type="dcterms:W3CDTF">2018-03-14T19:30:13Z</dcterms:modified>
</cp:coreProperties>
</file>