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8" windowWidth="9492" windowHeight="7500" activeTab="0"/>
  </bookViews>
  <sheets>
    <sheet name="Regnskab og budget" sheetId="1" r:id="rId1"/>
    <sheet name="Saldobalance" sheetId="2" r:id="rId2"/>
    <sheet name="Budget 13 version 1" sheetId="3" r:id="rId3"/>
    <sheet name="Kontoplan 13.01.13" sheetId="4" r:id="rId4"/>
    <sheet name="Bilag XXX Renovation" sheetId="5" r:id="rId5"/>
  </sheets>
  <definedNames/>
  <calcPr fullCalcOnLoad="1"/>
</workbook>
</file>

<file path=xl/sharedStrings.xml><?xml version="1.0" encoding="utf-8"?>
<sst xmlns="http://schemas.openxmlformats.org/spreadsheetml/2006/main" count="561" uniqueCount="343">
  <si>
    <t xml:space="preserve">Budget </t>
  </si>
  <si>
    <t xml:space="preserve">Regnskab </t>
  </si>
  <si>
    <t xml:space="preserve">Difference </t>
  </si>
  <si>
    <t>Konto</t>
  </si>
  <si>
    <t>%</t>
  </si>
  <si>
    <t>Fadøl</t>
  </si>
  <si>
    <t>Andre indtægter</t>
  </si>
  <si>
    <t>Forsikringer</t>
  </si>
  <si>
    <t>Renter og gebyrer</t>
  </si>
  <si>
    <t>Revision</t>
  </si>
  <si>
    <t>Bestyrelsen</t>
  </si>
  <si>
    <t>Diverse</t>
  </si>
  <si>
    <t>TV</t>
  </si>
  <si>
    <t xml:space="preserve"> hus/mdr</t>
  </si>
  <si>
    <t>Note</t>
  </si>
  <si>
    <t>Renovation</t>
  </si>
  <si>
    <t>Kontingent</t>
  </si>
  <si>
    <t>Snerydning</t>
  </si>
  <si>
    <t>Kontonr</t>
  </si>
  <si>
    <t>Fra dato</t>
  </si>
  <si>
    <t>Til dato</t>
  </si>
  <si>
    <t>Tekst</t>
  </si>
  <si>
    <t>Total beløb</t>
  </si>
  <si>
    <t>KontoType</t>
  </si>
  <si>
    <t>DebetKredit</t>
  </si>
  <si>
    <t>Korrektion beløb</t>
  </si>
  <si>
    <t>GEF ejerne</t>
  </si>
  <si>
    <t>Kredit</t>
  </si>
  <si>
    <t>GEF lejerne</t>
  </si>
  <si>
    <t>Rep maskine og anlæg</t>
  </si>
  <si>
    <t>Rep og service Gasfyr</t>
  </si>
  <si>
    <t>Udv. vedl. FÆ-hus</t>
  </si>
  <si>
    <t>Indv. vedl. FÆ-hus</t>
  </si>
  <si>
    <t>Vedl. fællesarealer</t>
  </si>
  <si>
    <t>Inventar</t>
  </si>
  <si>
    <t>Køkkenudstyr</t>
  </si>
  <si>
    <t>EL-artik, pærer mv</t>
  </si>
  <si>
    <t>Rengøringsmidler/-artikler</t>
  </si>
  <si>
    <t>Krydderier</t>
  </si>
  <si>
    <t>Gaver</t>
  </si>
  <si>
    <t>Fortæring arbejdsweekends</t>
  </si>
  <si>
    <t>Fortæring generalforsamling</t>
  </si>
  <si>
    <t>Adventsarrangementer</t>
  </si>
  <si>
    <t>Fastelavn</t>
  </si>
  <si>
    <t>Cafemøder</t>
  </si>
  <si>
    <t>Bakkeweekend</t>
  </si>
  <si>
    <t>Skt. Hans</t>
  </si>
  <si>
    <t>Telefon / bredbånd</t>
  </si>
  <si>
    <t>Hjemmeside/e-mail</t>
  </si>
  <si>
    <t>Nyanskaffelse</t>
  </si>
  <si>
    <t>Diverse variable udgifter</t>
  </si>
  <si>
    <t>Ejendomsskat</t>
  </si>
  <si>
    <t>Vaskemaskiner, 2011</t>
  </si>
  <si>
    <t>Andre renter og gebyrer</t>
  </si>
  <si>
    <t>EL</t>
  </si>
  <si>
    <t>Varme / gas</t>
  </si>
  <si>
    <t>Vand</t>
  </si>
  <si>
    <t>Drift af bestyrelsen</t>
  </si>
  <si>
    <t>Kontorartikler og Porto</t>
  </si>
  <si>
    <t>Økonomisystem</t>
  </si>
  <si>
    <t>GEF-regnskab</t>
  </si>
  <si>
    <t>IS-regnskab</t>
  </si>
  <si>
    <t>Tab på Bofæller</t>
  </si>
  <si>
    <t>Afrundingsfejl på Sol-projekt</t>
  </si>
  <si>
    <t>Diverse omkostninger</t>
  </si>
  <si>
    <t>Vask opkrævet</t>
  </si>
  <si>
    <t>Vask Fælleshuset</t>
  </si>
  <si>
    <t>Vaskemidler</t>
  </si>
  <si>
    <t>Gas</t>
  </si>
  <si>
    <t>Salttabletter</t>
  </si>
  <si>
    <t>Vand opkrævet</t>
  </si>
  <si>
    <t>Vand Fælleshuset</t>
  </si>
  <si>
    <t>Vaskeriet</t>
  </si>
  <si>
    <t>Vand Fredensborg Forsyning</t>
  </si>
  <si>
    <t>Varme opkrævet</t>
  </si>
  <si>
    <t>Varme Fælleshuset</t>
  </si>
  <si>
    <t>Gas vaskeriet</t>
  </si>
  <si>
    <t>HNG</t>
  </si>
  <si>
    <t>Renovation opkrævet</t>
  </si>
  <si>
    <t>Renovation Fælleshuset</t>
  </si>
  <si>
    <t>Renovation Fredensborg Forsyning</t>
  </si>
  <si>
    <t>TV opkrævet</t>
  </si>
  <si>
    <t>TV Fælleshuset</t>
  </si>
  <si>
    <t>YouSee og andre</t>
  </si>
  <si>
    <t>Øl opkrævet</t>
  </si>
  <si>
    <t>Øl Fælleshuset</t>
  </si>
  <si>
    <t>Tuborg og andre</t>
  </si>
  <si>
    <t>Mælk opkrævet</t>
  </si>
  <si>
    <t>Øllingegård</t>
  </si>
  <si>
    <t>Huslejeopkrævet</t>
  </si>
  <si>
    <t xml:space="preserve">Kredit </t>
  </si>
  <si>
    <t>DONG - EL</t>
  </si>
  <si>
    <t>GEF</t>
  </si>
  <si>
    <t>Udv. Vedligehold Gården</t>
  </si>
  <si>
    <t>Navn</t>
  </si>
  <si>
    <t>SumFra/suminterval</t>
  </si>
  <si>
    <t>MomsKode</t>
  </si>
  <si>
    <t>ModKonto</t>
  </si>
  <si>
    <t>OverfoerPrimoTil</t>
  </si>
  <si>
    <t>Afdeling</t>
  </si>
  <si>
    <t>NoegletalsKode</t>
  </si>
  <si>
    <t>Kode1</t>
  </si>
  <si>
    <t>Kode2</t>
  </si>
  <si>
    <t>Tvungen afdeling</t>
  </si>
  <si>
    <t>RESULTATOPGØRELSE</t>
  </si>
  <si>
    <t>Fællesindtægter i alt</t>
  </si>
  <si>
    <t>Variable udgifter</t>
  </si>
  <si>
    <t>Debet</t>
  </si>
  <si>
    <t>Rep og vedligehold</t>
  </si>
  <si>
    <t>Rep og vedligehold i alt</t>
  </si>
  <si>
    <t>Drift Fælleshus mv.</t>
  </si>
  <si>
    <t>Drift Fælleshus mv. i alt</t>
  </si>
  <si>
    <t>Arrang/kultur/gaver</t>
  </si>
  <si>
    <t>Informationsteknologi</t>
  </si>
  <si>
    <t>Informationsteknologi i alt</t>
  </si>
  <si>
    <t>Variable udgifter i alt</t>
  </si>
  <si>
    <t>Dækningsbidrag</t>
  </si>
  <si>
    <t>Fasteudgifter</t>
  </si>
  <si>
    <t>Ydelser på lån i alt</t>
  </si>
  <si>
    <t>Renter og gebyrer i alt</t>
  </si>
  <si>
    <t>Drift af bestyrelsen i alt</t>
  </si>
  <si>
    <t>Revision i alt</t>
  </si>
  <si>
    <t>Diverse i alt</t>
  </si>
  <si>
    <t>Faste udgifter i alt</t>
  </si>
  <si>
    <t>Fælles udgifter i alt</t>
  </si>
  <si>
    <t>Cigarkasserne</t>
  </si>
  <si>
    <t>Vaskeriet i alt</t>
  </si>
  <si>
    <t>Vand i alt</t>
  </si>
  <si>
    <t>Varme i alt</t>
  </si>
  <si>
    <t>Renovation i alt</t>
  </si>
  <si>
    <t>TV i alt</t>
  </si>
  <si>
    <t>Fadøl i alt</t>
  </si>
  <si>
    <t>Mælk</t>
  </si>
  <si>
    <t>Mælk i alt</t>
  </si>
  <si>
    <t>Gården</t>
  </si>
  <si>
    <t>Gården i alt</t>
  </si>
  <si>
    <t>Samlet resultat</t>
  </si>
  <si>
    <t>AKTIVER</t>
  </si>
  <si>
    <t>Anlægsaktiver</t>
  </si>
  <si>
    <t>Anskaffelser</t>
  </si>
  <si>
    <t>Nyt Køkken</t>
  </si>
  <si>
    <t>Anskaffelser i alt</t>
  </si>
  <si>
    <t>Fastejendom</t>
  </si>
  <si>
    <t>Fastejendom i alt</t>
  </si>
  <si>
    <t>GEF tilgode hos I/S</t>
  </si>
  <si>
    <t>Anlægsaktiver i alt</t>
  </si>
  <si>
    <t>Omsætningsaktiver</t>
  </si>
  <si>
    <t>Tilgodehavender hos Bofæller</t>
  </si>
  <si>
    <t>Tilgodehavender fra Bofæller i alt</t>
  </si>
  <si>
    <t>Øvrige tilgodehavender</t>
  </si>
  <si>
    <t>Forudbetalte poster</t>
  </si>
  <si>
    <t>Forskud fåregruppen</t>
  </si>
  <si>
    <t>Vandregnskab</t>
  </si>
  <si>
    <t>Varmeregnskab</t>
  </si>
  <si>
    <t>Fadøl - lagerbeholdning</t>
  </si>
  <si>
    <t>Øvrige tilgodehavender i alt</t>
  </si>
  <si>
    <t>Likvidebeholdninger</t>
  </si>
  <si>
    <t>Kontant</t>
  </si>
  <si>
    <t>Likvidebeholdninger i alt</t>
  </si>
  <si>
    <t>Omsætningsaktiver i alt</t>
  </si>
  <si>
    <t>AKTIVER I ALT</t>
  </si>
  <si>
    <t>PASSIVER</t>
  </si>
  <si>
    <t>EGENKAPITAL</t>
  </si>
  <si>
    <t>Egenkapital primo</t>
  </si>
  <si>
    <t>Periodens resultat</t>
  </si>
  <si>
    <t>1000..4990</t>
  </si>
  <si>
    <t>EGENKAPITAL I ALT</t>
  </si>
  <si>
    <t>1000..4990;6100..6199</t>
  </si>
  <si>
    <t>Hensættelser</t>
  </si>
  <si>
    <t>Øvrige hensættelser</t>
  </si>
  <si>
    <t>Hensættelser i alt</t>
  </si>
  <si>
    <t>Gæld til banker</t>
  </si>
  <si>
    <t>Prioritetslån RKD</t>
  </si>
  <si>
    <t>Gæld til banker i alt</t>
  </si>
  <si>
    <t>Øvrig gæld</t>
  </si>
  <si>
    <t>Skyldige omkostninger</t>
  </si>
  <si>
    <t>I/S gæld til GEF</t>
  </si>
  <si>
    <t>Øvrig gæld i alt</t>
  </si>
  <si>
    <t>Gæld i alt</t>
  </si>
  <si>
    <t>PASSIVER I ALT</t>
  </si>
  <si>
    <t>1000..4990;6000..8999</t>
  </si>
  <si>
    <t>Analyse/fejlkonto</t>
  </si>
  <si>
    <t>Nulkontrol</t>
  </si>
  <si>
    <t>Fælles indtægter</t>
  </si>
  <si>
    <t xml:space="preserve">Variable udgifter </t>
  </si>
  <si>
    <t xml:space="preserve">Variable udgifter i alt </t>
  </si>
  <si>
    <t>Faste udgifter</t>
  </si>
  <si>
    <t>Debit</t>
  </si>
  <si>
    <t>Varme</t>
  </si>
  <si>
    <t>Nr.</t>
  </si>
  <si>
    <t>Budgetteret</t>
  </si>
  <si>
    <t>Perioden</t>
  </si>
  <si>
    <t>Difference</t>
  </si>
  <si>
    <t>Arr./kultur/gaver i alt</t>
  </si>
  <si>
    <t>Vask</t>
  </si>
  <si>
    <t>EL opkrævet</t>
  </si>
  <si>
    <t>Landbrugsjord - 7 B</t>
  </si>
  <si>
    <t>Fælleshus - 9 N</t>
  </si>
  <si>
    <t>Gæld</t>
  </si>
  <si>
    <t>Gevinst på valutakursdiff, debitorer</t>
  </si>
  <si>
    <t>Gevinst på valutakursdiff, kreditorer</t>
  </si>
  <si>
    <t>Ændring</t>
  </si>
  <si>
    <t xml:space="preserve">Regnskabsår </t>
  </si>
  <si>
    <t>Budgetår</t>
  </si>
  <si>
    <t>:   fra</t>
  </si>
  <si>
    <t>til</t>
  </si>
  <si>
    <t>Tørretumbler, 1999</t>
  </si>
  <si>
    <t>Nye fyr, 1999</t>
  </si>
  <si>
    <t>Deltagerbetalte arrangementer</t>
  </si>
  <si>
    <t>Cigarkasserne i alt</t>
  </si>
  <si>
    <t>Kultur opkrævet</t>
  </si>
  <si>
    <t>Kultur udlæg</t>
  </si>
  <si>
    <t>Deltagerbetalte arrangementer i alt</t>
  </si>
  <si>
    <t>Indvendig vedligehold - Hus 26A</t>
  </si>
  <si>
    <t>Indvendig vedligehold - Hus 26C</t>
  </si>
  <si>
    <t>Huslejedepositum - Hus 26A</t>
  </si>
  <si>
    <t>Huslejedepositum - Hus 26C</t>
  </si>
  <si>
    <t>TV + licens</t>
  </si>
  <si>
    <t>Aviser og tidsskrifter</t>
  </si>
  <si>
    <t>Ressourceforbrug i Fælleshuset</t>
  </si>
  <si>
    <t>Ressourceforbrug i Fælleshuset i alt</t>
  </si>
  <si>
    <t>Øredifferencer</t>
  </si>
  <si>
    <t>Årets resultat for Bakken</t>
  </si>
  <si>
    <t>Vand vaskeriet</t>
  </si>
  <si>
    <t>Ikke længere i brug</t>
  </si>
  <si>
    <t>Forsikringer - 4.318.305.792</t>
  </si>
  <si>
    <t>Indv. Vedligehold Gården</t>
  </si>
  <si>
    <t>Stuehus + Østlængen - 7 AV</t>
  </si>
  <si>
    <t>Resultat:</t>
  </si>
  <si>
    <t>-  Bakken</t>
  </si>
  <si>
    <t>Balance:</t>
  </si>
  <si>
    <t>Får</t>
  </si>
  <si>
    <t>Løbende udgifter/får</t>
  </si>
  <si>
    <t>Engangsudgifter/får</t>
  </si>
  <si>
    <t>Årets udvikling/får</t>
  </si>
  <si>
    <t>Får i alt</t>
  </si>
  <si>
    <t>Regulering af lagerbeholdning</t>
  </si>
  <si>
    <t>Fåreprodukter- lagerbeholdning</t>
  </si>
  <si>
    <t>Hegn og hus/får</t>
  </si>
  <si>
    <t>Besætning/får</t>
  </si>
  <si>
    <t>Finansbanken 1122183</t>
  </si>
  <si>
    <t>Finansbanken 1243045 - fyrudskiftning</t>
  </si>
  <si>
    <t>Finansbanken 1234291 - komfur &amp; ovn</t>
  </si>
  <si>
    <t>Finansbanken 1328083 - Tørretumbler</t>
  </si>
  <si>
    <t>Rep. vaskeriet</t>
  </si>
  <si>
    <t>Årets reguleringer af egenkapitalen</t>
  </si>
  <si>
    <t>-  GEF ændring</t>
  </si>
  <si>
    <t xml:space="preserve">Udløber </t>
  </si>
  <si>
    <t>-  Gården</t>
  </si>
  <si>
    <t>-  Nyt GEF</t>
  </si>
  <si>
    <t>Markedsføring</t>
  </si>
  <si>
    <t>Stigning</t>
  </si>
  <si>
    <t>Gårdens GEF</t>
  </si>
  <si>
    <t>Træk på kassekreditten</t>
  </si>
  <si>
    <t>Arbejdskapital</t>
  </si>
  <si>
    <t>Fester/kultur</t>
  </si>
  <si>
    <t>Kultur - udgået</t>
  </si>
  <si>
    <t>Afskrivninger</t>
  </si>
  <si>
    <t>Depositum mælkeordningen - udgået</t>
  </si>
  <si>
    <t>Jyske Bank 135684-2 - Udgået</t>
  </si>
  <si>
    <t>Nordea - 3495871427</t>
  </si>
  <si>
    <t>Nordea Prioritet</t>
  </si>
  <si>
    <t>Komfur &amp; Ovn, ????</t>
  </si>
  <si>
    <t>Fyrudskiftning, 1999</t>
  </si>
  <si>
    <t>Gårdens ændring</t>
  </si>
  <si>
    <t>Diverse Fælleshus</t>
  </si>
  <si>
    <t>Rykkergebyr</t>
  </si>
  <si>
    <t>Lys, blomster</t>
  </si>
  <si>
    <t>7AV - Stuehuset + Østlængen</t>
  </si>
  <si>
    <t>Gl. RKD-lån</t>
  </si>
  <si>
    <t>Nordea</t>
  </si>
  <si>
    <t>Stk</t>
  </si>
  <si>
    <t>Stk. pris</t>
  </si>
  <si>
    <t>ex moms</t>
  </si>
  <si>
    <t>inkl. Moms</t>
  </si>
  <si>
    <t xml:space="preserve"> Hus/mdr</t>
  </si>
  <si>
    <t>Årligt</t>
  </si>
  <si>
    <t>50 lugetømning</t>
  </si>
  <si>
    <t>110 I sæk ekstra ugetømning</t>
  </si>
  <si>
    <t>110 I sæk ugetømning</t>
  </si>
  <si>
    <t xml:space="preserve">Glas </t>
  </si>
  <si>
    <t xml:space="preserve">Papir </t>
  </si>
  <si>
    <t xml:space="preserve">Storskrald </t>
  </si>
  <si>
    <t>Farligt affald</t>
  </si>
  <si>
    <t>Genbrugsplads</t>
  </si>
  <si>
    <t>Renovation Privat i alt</t>
  </si>
  <si>
    <t>Gården på Fælleshusets opkrævning</t>
  </si>
  <si>
    <t>400 I cont. ugetømning</t>
  </si>
  <si>
    <t>800 I cont. Ugetømning</t>
  </si>
  <si>
    <t>Fælleshuset i alt</t>
  </si>
  <si>
    <t>Kontrol</t>
  </si>
  <si>
    <t>Gårdens egen opkrævning</t>
  </si>
  <si>
    <t>Gårdrdens opkrævning via Fælleshuset</t>
  </si>
  <si>
    <t>Cigarkasser der IKKE kan stemme per 31/12 - se seperate regnskaber på hjemmesiden</t>
  </si>
  <si>
    <t>Cigarkasser der skal stemme per 31/12 indenfor +/- 100 dkk</t>
  </si>
  <si>
    <t>Formueopgørelse</t>
  </si>
  <si>
    <t>Salg af fåreprodukter (Brutto)</t>
  </si>
  <si>
    <t>Rabat på fåreprodukter</t>
  </si>
  <si>
    <t>Bakken Bank</t>
  </si>
  <si>
    <t>Bakken Bank i alt</t>
  </si>
  <si>
    <t>Opsparing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</si>
  <si>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</si>
  <si>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</si>
  <si>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</si>
  <si>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</si>
  <si>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</si>
  <si>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</si>
  <si>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</si>
  <si>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</si>
  <si>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</si>
  <si>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</si>
  <si>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</si>
  <si>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</si>
  <si>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Projekter</t>
  </si>
  <si>
    <t>M</t>
  </si>
  <si>
    <t>N</t>
  </si>
  <si>
    <t>O</t>
  </si>
  <si>
    <t>P</t>
  </si>
  <si>
    <t>Asfalt</t>
  </si>
  <si>
    <t>Salg af Gården</t>
  </si>
  <si>
    <t>Kolbøtten</t>
  </si>
  <si>
    <t>Fælleshustorvet</t>
  </si>
  <si>
    <t>Svællemuren</t>
  </si>
  <si>
    <t>Uspecificerede projekter</t>
  </si>
  <si>
    <t>Projekter i alt</t>
  </si>
  <si>
    <t>Q</t>
  </si>
  <si>
    <t>R</t>
  </si>
  <si>
    <t>Fælleshusfornyelsen</t>
  </si>
  <si>
    <t>Energnisterne</t>
  </si>
  <si>
    <t>Overført fra opsparringen</t>
  </si>
  <si>
    <t>Tilgodehavender - øvrige debitorer</t>
  </si>
  <si>
    <t>Tilgodehavende - kreditorer</t>
  </si>
  <si>
    <t>S</t>
  </si>
  <si>
    <t>T</t>
  </si>
  <si>
    <t>U</t>
  </si>
  <si>
    <t>Bilag ???</t>
  </si>
  <si>
    <t>Renovation 2013 jan-jun.</t>
  </si>
  <si>
    <t>Reg 2013</t>
  </si>
  <si>
    <r>
      <t>Saldobalance for perioden 01.01.13-31.12.13</t>
    </r>
    <r>
      <rPr>
        <sz val="10"/>
        <rFont val="Arial"/>
        <family val="0"/>
      </rPr>
      <t> </t>
    </r>
  </si>
  <si>
    <t>Projekt 8 - ikke brugt</t>
  </si>
  <si>
    <t>Projekt 9 - ikke brugt</t>
  </si>
  <si>
    <t>Projekt 10 - ikke brugt</t>
  </si>
  <si>
    <t>Projekt 11 - ikke brugt</t>
  </si>
</sst>
</file>

<file path=xl/styles.xml><?xml version="1.0" encoding="utf-8"?>
<styleSheet xmlns="http://schemas.openxmlformats.org/spreadsheetml/2006/main">
  <numFmts count="41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&quot;kr&quot;\ * #,##0.00_ ;_ &quot;kr&quot;\ * \-#,##0.00_ ;_ &quot;kr&quot;\ * &quot;-&quot;??_ ;_ @_ "/>
    <numFmt numFmtId="170" formatCode="&quot;kr&quot;\ #,##0_);\(&quot;kr&quot;\ #,##0\)"/>
    <numFmt numFmtId="171" formatCode="&quot;kr&quot;\ #,##0_);[Red]\(&quot;kr&quot;\ #,##0\)"/>
    <numFmt numFmtId="172" formatCode="&quot;kr&quot;\ #,##0.00_);\(&quot;kr&quot;\ #,##0.00\)"/>
    <numFmt numFmtId="173" formatCode="&quot;kr&quot;\ #,##0.00_);[Red]\(&quot;kr&quot;\ #,##0.00\)"/>
    <numFmt numFmtId="174" formatCode="_(&quot;kr&quot;\ * #,##0_);_(&quot;kr&quot;\ * \(#,##0\);_(&quot;kr&quot;\ * &quot;-&quot;_);_(@_)"/>
    <numFmt numFmtId="175" formatCode="_(* #,##0_);_(* \(#,##0\);_(* &quot;-&quot;_);_(@_)"/>
    <numFmt numFmtId="176" formatCode="_(&quot;kr&quot;\ * #,##0.00_);_(&quot;kr&quot;\ * \(#,##0.00\);_(&quot;kr&quot;\ * &quot;-&quot;??_);_(@_)"/>
    <numFmt numFmtId="177" formatCode="_(* #,##0.00_);_(* \(#,##0.00\);_(* &quot;-&quot;??_);_(@_)"/>
    <numFmt numFmtId="178" formatCode="&quot;kr.&quot;\ #,##0_);\(&quot;kr.&quot;\ #,##0\)"/>
    <numFmt numFmtId="179" formatCode="&quot;kr.&quot;\ #,##0_);[Red]\(&quot;kr.&quot;\ #,##0\)"/>
    <numFmt numFmtId="180" formatCode="&quot;kr.&quot;\ #,##0.00_);\(&quot;kr.&quot;\ #,##0.00\)"/>
    <numFmt numFmtId="181" formatCode="&quot;kr.&quot;\ #,##0.00_);[Red]\(&quot;kr.&quot;\ #,##0.00\)"/>
    <numFmt numFmtId="182" formatCode="_(&quot;kr.&quot;\ * #,##0_);_(&quot;kr.&quot;\ * \(#,##0\);_(&quot;kr.&quot;\ * &quot;-&quot;_);_(@_)"/>
    <numFmt numFmtId="183" formatCode="_(&quot;kr.&quot;\ * #,##0.00_);_(&quot;kr.&quot;\ * \(#,##0.00\);_(&quot;kr.&quot;\ * &quot;-&quot;??_);_(@_)"/>
    <numFmt numFmtId="184" formatCode=";;;"/>
    <numFmt numFmtId="185" formatCode="&quot;Ja&quot;;&quot;Ja&quot;;&quot;Nej&quot;"/>
    <numFmt numFmtId="186" formatCode="&quot;Sand&quot;;&quot;Sand&quot;;&quot;Falsk&quot;"/>
    <numFmt numFmtId="187" formatCode="&quot;Til&quot;;&quot;Til&quot;;&quot;Fra&quot;"/>
    <numFmt numFmtId="188" formatCode="[$€-2]\ #.##000_);[Red]\([$€-2]\ #.##000\)"/>
    <numFmt numFmtId="189" formatCode="#,##0_ ;[Red]\-#,##0\ "/>
    <numFmt numFmtId="190" formatCode="#,##0;[Red]#,##0"/>
    <numFmt numFmtId="191" formatCode="#,##0.0000"/>
    <numFmt numFmtId="192" formatCode="0.0%"/>
    <numFmt numFmtId="193" formatCode="[$-406]d\.\ mmmm\ yyyy"/>
    <numFmt numFmtId="194" formatCode="d\.m\.yy;@"/>
    <numFmt numFmtId="195" formatCode="mmm/yyyy"/>
    <numFmt numFmtId="196" formatCode="0.0"/>
  </numFmts>
  <fonts count="46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0"/>
      <name val="Arial Unicode MS"/>
      <family val="2"/>
    </font>
    <font>
      <b/>
      <sz val="14"/>
      <name val="Arial"/>
      <family val="2"/>
    </font>
    <font>
      <sz val="14"/>
      <name val="Arial"/>
      <family val="2"/>
    </font>
    <font>
      <sz val="8"/>
      <color indexed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2" fillId="21" borderId="2" applyNumberFormat="0" applyAlignment="0" applyProtection="0"/>
    <xf numFmtId="0" fontId="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5" fillId="23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6" fillId="24" borderId="3" applyNumberFormat="0" applyAlignment="0" applyProtection="0"/>
    <xf numFmtId="0" fontId="5" fillId="0" borderId="0" applyNumberFormat="0" applyFill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1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3" fontId="0" fillId="0" borderId="0" xfId="0" applyNumberFormat="1" applyFont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3" fontId="3" fillId="0" borderId="0" xfId="0" applyNumberFormat="1" applyFont="1" applyAlignment="1">
      <alignment horizontal="center"/>
    </xf>
    <xf numFmtId="3" fontId="0" fillId="0" borderId="0" xfId="0" applyNumberFormat="1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1" fillId="0" borderId="0" xfId="0" applyNumberFormat="1" applyFont="1" applyAlignment="1">
      <alignment/>
    </xf>
    <xf numFmtId="3" fontId="2" fillId="0" borderId="10" xfId="0" applyNumberFormat="1" applyFont="1" applyBorder="1" applyAlignment="1">
      <alignment horizontal="center"/>
    </xf>
    <xf numFmtId="3" fontId="3" fillId="33" borderId="12" xfId="0" applyNumberFormat="1" applyFont="1" applyFill="1" applyBorder="1" applyAlignment="1">
      <alignment/>
    </xf>
    <xf numFmtId="3" fontId="0" fillId="33" borderId="1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0" fillId="0" borderId="12" xfId="0" applyNumberFormat="1" applyFont="1" applyBorder="1" applyAlignment="1">
      <alignment/>
    </xf>
    <xf numFmtId="3" fontId="3" fillId="0" borderId="12" xfId="0" applyNumberFormat="1" applyFont="1" applyFill="1" applyBorder="1" applyAlignment="1">
      <alignment/>
    </xf>
    <xf numFmtId="3" fontId="0" fillId="0" borderId="13" xfId="0" applyNumberFormat="1" applyFont="1" applyBorder="1" applyAlignment="1">
      <alignment/>
    </xf>
    <xf numFmtId="3" fontId="1" fillId="0" borderId="14" xfId="0" applyNumberFormat="1" applyFont="1" applyFill="1" applyBorder="1" applyAlignment="1">
      <alignment/>
    </xf>
    <xf numFmtId="3" fontId="1" fillId="0" borderId="15" xfId="0" applyNumberFormat="1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1" fillId="0" borderId="17" xfId="0" applyNumberFormat="1" applyFont="1" applyFill="1" applyBorder="1" applyAlignment="1">
      <alignment/>
    </xf>
    <xf numFmtId="3" fontId="1" fillId="0" borderId="18" xfId="0" applyNumberFormat="1" applyFont="1" applyBorder="1" applyAlignment="1">
      <alignment/>
    </xf>
    <xf numFmtId="3" fontId="1" fillId="33" borderId="19" xfId="0" applyNumberFormat="1" applyFont="1" applyFill="1" applyBorder="1" applyAlignment="1">
      <alignment/>
    </xf>
    <xf numFmtId="3" fontId="0" fillId="33" borderId="20" xfId="0" applyNumberFormat="1" applyFont="1" applyFill="1" applyBorder="1" applyAlignment="1">
      <alignment/>
    </xf>
    <xf numFmtId="3" fontId="0" fillId="33" borderId="21" xfId="0" applyNumberFormat="1" applyFont="1" applyFill="1" applyBorder="1" applyAlignment="1">
      <alignment/>
    </xf>
    <xf numFmtId="3" fontId="0" fillId="0" borderId="12" xfId="0" applyNumberFormat="1" applyFont="1" applyBorder="1" applyAlignment="1">
      <alignment horizontal="center"/>
    </xf>
    <xf numFmtId="3" fontId="0" fillId="33" borderId="22" xfId="0" applyNumberFormat="1" applyFont="1" applyFill="1" applyBorder="1" applyAlignment="1">
      <alignment/>
    </xf>
    <xf numFmtId="3" fontId="0" fillId="33" borderId="23" xfId="0" applyNumberFormat="1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3" fontId="0" fillId="0" borderId="25" xfId="0" applyNumberFormat="1" applyFont="1" applyFill="1" applyBorder="1" applyAlignment="1">
      <alignment horizontal="center"/>
    </xf>
    <xf numFmtId="3" fontId="0" fillId="0" borderId="26" xfId="0" applyNumberFormat="1" applyFont="1" applyFill="1" applyBorder="1" applyAlignment="1">
      <alignment horizontal="center"/>
    </xf>
    <xf numFmtId="3" fontId="0" fillId="0" borderId="24" xfId="0" applyNumberFormat="1" applyFont="1" applyFill="1" applyBorder="1" applyAlignment="1">
      <alignment horizontal="center"/>
    </xf>
    <xf numFmtId="3" fontId="0" fillId="0" borderId="27" xfId="0" applyNumberFormat="1" applyFont="1" applyFill="1" applyBorder="1" applyAlignment="1">
      <alignment horizontal="center"/>
    </xf>
    <xf numFmtId="3" fontId="0" fillId="0" borderId="12" xfId="0" applyNumberFormat="1" applyBorder="1" applyAlignment="1">
      <alignment/>
    </xf>
    <xf numFmtId="3" fontId="1" fillId="0" borderId="12" xfId="0" applyNumberFormat="1" applyFont="1" applyFill="1" applyBorder="1" applyAlignment="1">
      <alignment/>
    </xf>
    <xf numFmtId="3" fontId="0" fillId="0" borderId="10" xfId="0" applyNumberFormat="1" applyBorder="1" applyAlignment="1">
      <alignment/>
    </xf>
    <xf numFmtId="3" fontId="0" fillId="0" borderId="17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0" fillId="33" borderId="19" xfId="0" applyNumberFormat="1" applyFont="1" applyFill="1" applyBorder="1" applyAlignment="1">
      <alignment/>
    </xf>
    <xf numFmtId="3" fontId="0" fillId="33" borderId="21" xfId="0" applyNumberFormat="1" applyFont="1" applyFill="1" applyBorder="1" applyAlignment="1">
      <alignment horizontal="center"/>
    </xf>
    <xf numFmtId="3" fontId="1" fillId="0" borderId="28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1" fontId="0" fillId="0" borderId="29" xfId="0" applyNumberFormat="1" applyFont="1" applyFill="1" applyBorder="1" applyAlignment="1">
      <alignment/>
    </xf>
    <xf numFmtId="1" fontId="0" fillId="0" borderId="30" xfId="0" applyNumberFormat="1" applyFont="1" applyFill="1" applyBorder="1" applyAlignment="1">
      <alignment horizontal="center"/>
    </xf>
    <xf numFmtId="1" fontId="0" fillId="0" borderId="16" xfId="0" applyNumberFormat="1" applyFont="1" applyFill="1" applyBorder="1" applyAlignment="1">
      <alignment/>
    </xf>
    <xf numFmtId="1" fontId="0" fillId="0" borderId="13" xfId="0" applyNumberFormat="1" applyFont="1" applyFill="1" applyBorder="1" applyAlignment="1">
      <alignment horizontal="center"/>
    </xf>
    <xf numFmtId="1" fontId="0" fillId="0" borderId="12" xfId="0" applyNumberFormat="1" applyFont="1" applyFill="1" applyBorder="1" applyAlignment="1">
      <alignment/>
    </xf>
    <xf numFmtId="1" fontId="0" fillId="0" borderId="10" xfId="0" applyNumberFormat="1" applyFont="1" applyFill="1" applyBorder="1" applyAlignment="1">
      <alignment horizontal="center"/>
    </xf>
    <xf numFmtId="3" fontId="3" fillId="0" borderId="0" xfId="0" applyNumberFormat="1" applyFont="1" applyAlignment="1">
      <alignment horizontal="right"/>
    </xf>
    <xf numFmtId="3" fontId="0" fillId="0" borderId="27" xfId="0" applyNumberFormat="1" applyFont="1" applyFill="1" applyBorder="1" applyAlignment="1">
      <alignment/>
    </xf>
    <xf numFmtId="3" fontId="0" fillId="0" borderId="27" xfId="0" applyNumberFormat="1" applyFont="1" applyBorder="1" applyAlignment="1">
      <alignment/>
    </xf>
    <xf numFmtId="3" fontId="0" fillId="0" borderId="0" xfId="0" applyNumberFormat="1" applyAlignment="1">
      <alignment/>
    </xf>
    <xf numFmtId="0" fontId="0" fillId="0" borderId="0" xfId="0" applyNumberFormat="1" applyAlignment="1">
      <alignment/>
    </xf>
    <xf numFmtId="3" fontId="0" fillId="33" borderId="12" xfId="0" applyNumberFormat="1" applyFont="1" applyFill="1" applyBorder="1" applyAlignment="1">
      <alignment/>
    </xf>
    <xf numFmtId="3" fontId="0" fillId="33" borderId="12" xfId="0" applyNumberFormat="1" applyFill="1" applyBorder="1" applyAlignment="1">
      <alignment/>
    </xf>
    <xf numFmtId="3" fontId="3" fillId="0" borderId="0" xfId="0" applyNumberFormat="1" applyFont="1" applyAlignment="1" applyProtection="1">
      <alignment horizontal="right"/>
      <protection hidden="1" locked="0"/>
    </xf>
    <xf numFmtId="3" fontId="3" fillId="0" borderId="26" xfId="0" applyNumberFormat="1" applyFont="1" applyBorder="1" applyAlignment="1">
      <alignment horizontal="center"/>
    </xf>
    <xf numFmtId="3" fontId="3" fillId="0" borderId="26" xfId="0" applyNumberFormat="1" applyFont="1" applyBorder="1" applyAlignment="1">
      <alignment horizontal="right"/>
    </xf>
    <xf numFmtId="0" fontId="8" fillId="0" borderId="0" xfId="0" applyFont="1" applyAlignment="1">
      <alignment/>
    </xf>
    <xf numFmtId="14" fontId="8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7" fillId="0" borderId="0" xfId="0" applyFont="1" applyAlignment="1">
      <alignment/>
    </xf>
    <xf numFmtId="3" fontId="11" fillId="0" borderId="0" xfId="0" applyNumberFormat="1" applyFont="1" applyAlignment="1">
      <alignment/>
    </xf>
    <xf numFmtId="49" fontId="0" fillId="0" borderId="0" xfId="0" applyNumberFormat="1" applyAlignment="1">
      <alignment wrapText="1"/>
    </xf>
    <xf numFmtId="1" fontId="0" fillId="0" borderId="0" xfId="0" applyNumberFormat="1" applyAlignment="1">
      <alignment wrapText="1"/>
    </xf>
    <xf numFmtId="4" fontId="0" fillId="0" borderId="0" xfId="0" applyNumberFormat="1" applyAlignment="1">
      <alignment horizontal="right" wrapText="1"/>
    </xf>
    <xf numFmtId="3" fontId="1" fillId="0" borderId="18" xfId="0" applyNumberFormat="1" applyFont="1" applyBorder="1" applyAlignment="1">
      <alignment horizontal="center"/>
    </xf>
    <xf numFmtId="1" fontId="3" fillId="0" borderId="0" xfId="0" applyNumberFormat="1" applyFont="1" applyAlignment="1" quotePrefix="1">
      <alignment horizontal="right"/>
    </xf>
    <xf numFmtId="2" fontId="9" fillId="0" borderId="0" xfId="0" applyNumberFormat="1" applyFont="1" applyAlignment="1">
      <alignment horizontal="right" wrapText="1"/>
    </xf>
    <xf numFmtId="1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14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9" fillId="34" borderId="0" xfId="0" applyNumberFormat="1" applyFont="1" applyFill="1" applyAlignment="1">
      <alignment wrapText="1"/>
    </xf>
    <xf numFmtId="49" fontId="9" fillId="34" borderId="0" xfId="0" applyNumberFormat="1" applyFont="1" applyFill="1" applyAlignment="1">
      <alignment wrapText="1"/>
    </xf>
    <xf numFmtId="1" fontId="9" fillId="0" borderId="0" xfId="0" applyNumberFormat="1" applyFont="1" applyAlignment="1">
      <alignment wrapText="1"/>
    </xf>
    <xf numFmtId="1" fontId="9" fillId="35" borderId="0" xfId="0" applyNumberFormat="1" applyFont="1" applyFill="1" applyAlignment="1">
      <alignment wrapText="1"/>
    </xf>
    <xf numFmtId="49" fontId="9" fillId="35" borderId="0" xfId="0" applyNumberFormat="1" applyFont="1" applyFill="1" applyAlignment="1">
      <alignment wrapText="1"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 quotePrefix="1">
      <alignment/>
    </xf>
    <xf numFmtId="3" fontId="2" fillId="0" borderId="28" xfId="0" applyNumberFormat="1" applyFont="1" applyBorder="1" applyAlignment="1">
      <alignment horizontal="center"/>
    </xf>
    <xf numFmtId="3" fontId="3" fillId="33" borderId="10" xfId="0" applyNumberFormat="1" applyFont="1" applyFill="1" applyBorder="1" applyAlignment="1">
      <alignment/>
    </xf>
    <xf numFmtId="3" fontId="3" fillId="33" borderId="12" xfId="0" applyNumberFormat="1" applyFont="1" applyFill="1" applyBorder="1" applyAlignment="1">
      <alignment/>
    </xf>
    <xf numFmtId="3" fontId="3" fillId="33" borderId="10" xfId="0" applyNumberFormat="1" applyFont="1" applyFill="1" applyBorder="1" applyAlignment="1">
      <alignment/>
    </xf>
    <xf numFmtId="3" fontId="3" fillId="0" borderId="12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1" fontId="0" fillId="0" borderId="0" xfId="0" applyNumberFormat="1" applyAlignment="1">
      <alignment/>
    </xf>
    <xf numFmtId="3" fontId="2" fillId="0" borderId="31" xfId="0" applyNumberFormat="1" applyFont="1" applyBorder="1" applyAlignment="1">
      <alignment horizontal="center"/>
    </xf>
    <xf numFmtId="1" fontId="4" fillId="0" borderId="0" xfId="0" applyNumberFormat="1" applyFont="1" applyAlignment="1" quotePrefix="1">
      <alignment horizontal="right"/>
    </xf>
    <xf numFmtId="4" fontId="0" fillId="0" borderId="0" xfId="0" applyNumberFormat="1" applyAlignment="1">
      <alignment/>
    </xf>
    <xf numFmtId="189" fontId="1" fillId="0" borderId="18" xfId="0" applyNumberFormat="1" applyFont="1" applyBorder="1" applyAlignment="1">
      <alignment/>
    </xf>
    <xf numFmtId="189" fontId="3" fillId="0" borderId="0" xfId="0" applyNumberFormat="1" applyFont="1" applyAlignment="1">
      <alignment/>
    </xf>
    <xf numFmtId="3" fontId="3" fillId="33" borderId="10" xfId="0" applyNumberFormat="1" applyFont="1" applyFill="1" applyBorder="1" applyAlignment="1" quotePrefix="1">
      <alignment horizontal="right"/>
    </xf>
    <xf numFmtId="3" fontId="12" fillId="0" borderId="0" xfId="0" applyNumberFormat="1" applyFont="1" applyAlignment="1">
      <alignment horizontal="center"/>
    </xf>
    <xf numFmtId="191" fontId="0" fillId="0" borderId="0" xfId="0" applyNumberFormat="1" applyAlignment="1">
      <alignment/>
    </xf>
    <xf numFmtId="1" fontId="3" fillId="0" borderId="0" xfId="0" applyNumberFormat="1" applyFont="1" applyAlignment="1" quotePrefix="1">
      <alignment horizontal="left"/>
    </xf>
    <xf numFmtId="192" fontId="3" fillId="0" borderId="0" xfId="0" applyNumberFormat="1" applyFont="1" applyAlignment="1" applyProtection="1">
      <alignment horizontal="right"/>
      <protection/>
    </xf>
    <xf numFmtId="3" fontId="4" fillId="0" borderId="32" xfId="0" applyNumberFormat="1" applyFont="1" applyBorder="1" applyAlignment="1" applyProtection="1">
      <alignment horizontal="right"/>
      <protection/>
    </xf>
    <xf numFmtId="3" fontId="0" fillId="0" borderId="10" xfId="0" applyNumberFormat="1" applyFont="1" applyFill="1" applyBorder="1" applyAlignment="1" applyProtection="1">
      <alignment/>
      <protection/>
    </xf>
    <xf numFmtId="3" fontId="3" fillId="33" borderId="12" xfId="0" applyNumberFormat="1" applyFont="1" applyFill="1" applyBorder="1" applyAlignment="1" applyProtection="1">
      <alignment/>
      <protection locked="0"/>
    </xf>
    <xf numFmtId="3" fontId="3" fillId="33" borderId="12" xfId="0" applyNumberFormat="1" applyFont="1" applyFill="1" applyBorder="1" applyAlignment="1" applyProtection="1">
      <alignment/>
      <protection locked="0"/>
    </xf>
    <xf numFmtId="3" fontId="0" fillId="0" borderId="10" xfId="0" applyNumberFormat="1" applyFont="1" applyFill="1" applyBorder="1" applyAlignment="1" applyProtection="1">
      <alignment/>
      <protection locked="0"/>
    </xf>
    <xf numFmtId="3" fontId="3" fillId="33" borderId="10" xfId="0" applyNumberFormat="1" applyFont="1" applyFill="1" applyBorder="1" applyAlignment="1" applyProtection="1">
      <alignment/>
      <protection locked="0"/>
    </xf>
    <xf numFmtId="3" fontId="3" fillId="33" borderId="10" xfId="0" applyNumberFormat="1" applyFont="1" applyFill="1" applyBorder="1" applyAlignment="1" applyProtection="1">
      <alignment/>
      <protection locked="0"/>
    </xf>
    <xf numFmtId="3" fontId="1" fillId="0" borderId="11" xfId="0" applyNumberFormat="1" applyFont="1" applyFill="1" applyBorder="1" applyAlignment="1" applyProtection="1">
      <alignment/>
      <protection/>
    </xf>
    <xf numFmtId="3" fontId="2" fillId="0" borderId="18" xfId="0" applyNumberFormat="1" applyFont="1" applyBorder="1" applyAlignment="1">
      <alignment horizontal="center"/>
    </xf>
    <xf numFmtId="3" fontId="2" fillId="0" borderId="33" xfId="0" applyNumberFormat="1" applyFont="1" applyBorder="1" applyAlignment="1">
      <alignment horizontal="center"/>
    </xf>
    <xf numFmtId="3" fontId="2" fillId="0" borderId="34" xfId="0" applyNumberFormat="1" applyFont="1" applyBorder="1" applyAlignment="1">
      <alignment horizontal="center"/>
    </xf>
    <xf numFmtId="0" fontId="0" fillId="0" borderId="0" xfId="0" applyFont="1" applyAlignment="1">
      <alignment/>
    </xf>
    <xf numFmtId="3" fontId="3" fillId="33" borderId="12" xfId="0" applyNumberFormat="1" applyFont="1" applyFill="1" applyBorder="1" applyAlignment="1" applyProtection="1">
      <alignment/>
      <protection/>
    </xf>
    <xf numFmtId="4" fontId="44" fillId="0" borderId="0" xfId="0" applyNumberFormat="1" applyFont="1" applyAlignment="1">
      <alignment horizontal="right" wrapText="1"/>
    </xf>
    <xf numFmtId="0" fontId="13" fillId="0" borderId="0" xfId="0" applyFont="1" applyAlignment="1">
      <alignment/>
    </xf>
    <xf numFmtId="4" fontId="0" fillId="0" borderId="26" xfId="0" applyNumberFormat="1" applyBorder="1" applyAlignment="1">
      <alignment/>
    </xf>
    <xf numFmtId="49" fontId="44" fillId="0" borderId="0" xfId="0" applyNumberFormat="1" applyFont="1" applyAlignment="1">
      <alignment horizontal="right" wrapText="1"/>
    </xf>
    <xf numFmtId="3" fontId="1" fillId="0" borderId="35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26" xfId="0" applyBorder="1" applyAlignment="1">
      <alignment/>
    </xf>
    <xf numFmtId="3" fontId="10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189" fontId="1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49" fontId="44" fillId="0" borderId="0" xfId="0" applyNumberFormat="1" applyFont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vertical="top" wrapText="1"/>
    </xf>
    <xf numFmtId="4" fontId="0" fillId="0" borderId="0" xfId="0" applyNumberFormat="1" applyFont="1" applyAlignment="1">
      <alignment horizontal="right" vertical="top" wrapText="1"/>
    </xf>
    <xf numFmtId="4" fontId="0" fillId="0" borderId="0" xfId="0" applyNumberFormat="1" applyFont="1" applyAlignment="1">
      <alignment/>
    </xf>
    <xf numFmtId="0" fontId="0" fillId="0" borderId="26" xfId="0" applyFont="1" applyBorder="1" applyAlignment="1">
      <alignment horizontal="left" vertical="top" wrapText="1"/>
    </xf>
    <xf numFmtId="0" fontId="0" fillId="0" borderId="26" xfId="0" applyFont="1" applyBorder="1" applyAlignment="1">
      <alignment/>
    </xf>
    <xf numFmtId="4" fontId="0" fillId="0" borderId="26" xfId="0" applyNumberFormat="1" applyFont="1" applyBorder="1" applyAlignment="1">
      <alignment/>
    </xf>
    <xf numFmtId="4" fontId="0" fillId="0" borderId="32" xfId="0" applyNumberFormat="1" applyFont="1" applyBorder="1" applyAlignment="1">
      <alignment/>
    </xf>
    <xf numFmtId="4" fontId="0" fillId="0" borderId="36" xfId="0" applyNumberFormat="1" applyBorder="1" applyAlignment="1">
      <alignment/>
    </xf>
    <xf numFmtId="4" fontId="0" fillId="0" borderId="26" xfId="0" applyNumberFormat="1" applyFont="1" applyBorder="1" applyAlignment="1">
      <alignment horizontal="right" vertical="top" wrapText="1"/>
    </xf>
    <xf numFmtId="4" fontId="0" fillId="0" borderId="36" xfId="0" applyNumberFormat="1" applyFont="1" applyBorder="1" applyAlignment="1">
      <alignment/>
    </xf>
    <xf numFmtId="49" fontId="44" fillId="0" borderId="0" xfId="0" applyNumberFormat="1" applyFont="1" applyAlignment="1">
      <alignment wrapText="1"/>
    </xf>
  </cellXfs>
  <cellStyles count="49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llowed Hyperlink" xfId="36"/>
    <cellStyle name="Forklarende tekst" xfId="37"/>
    <cellStyle name="God" xfId="38"/>
    <cellStyle name="Input" xfId="39"/>
    <cellStyle name="Comma" xfId="40"/>
    <cellStyle name="Comma [0]" xfId="41"/>
    <cellStyle name="Kontroller celle" xfId="42"/>
    <cellStyle name="Hyperlink" xfId="43"/>
    <cellStyle name="Markeringsfarve1" xfId="44"/>
    <cellStyle name="Markeringsfarve2" xfId="45"/>
    <cellStyle name="Markeringsfarve3" xfId="46"/>
    <cellStyle name="Markeringsfarve4" xfId="47"/>
    <cellStyle name="Markeringsfarve5" xfId="48"/>
    <cellStyle name="Markeringsfarve6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7"/>
  <sheetViews>
    <sheetView tabSelected="1" zoomScale="90" zoomScaleNormal="9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K96" sqref="K96"/>
    </sheetView>
  </sheetViews>
  <sheetFormatPr defaultColWidth="9.140625" defaultRowHeight="12.75"/>
  <cols>
    <col min="1" max="1" width="33.28125" style="20" customWidth="1"/>
    <col min="2" max="5" width="10.57421875" style="20" customWidth="1"/>
    <col min="6" max="6" width="11.28125" style="20" bestFit="1" customWidth="1"/>
    <col min="7" max="7" width="10.57421875" style="20" customWidth="1"/>
    <col min="8" max="8" width="13.7109375" style="20" bestFit="1" customWidth="1"/>
    <col min="9" max="9" width="10.57421875" style="20" customWidth="1"/>
    <col min="10" max="10" width="8.00390625" style="20" customWidth="1"/>
    <col min="11" max="11" width="9.8515625" style="20" bestFit="1" customWidth="1"/>
    <col min="12" max="12" width="10.57421875" style="20" customWidth="1"/>
    <col min="13" max="13" width="10.00390625" style="20" customWidth="1"/>
    <col min="14" max="14" width="12.8515625" style="20" customWidth="1"/>
    <col min="15" max="16384" width="9.140625" style="20" customWidth="1"/>
  </cols>
  <sheetData>
    <row r="1" spans="6:12" ht="12.75">
      <c r="F1" s="52"/>
      <c r="G1" s="53"/>
      <c r="H1" s="53"/>
      <c r="I1" s="53"/>
      <c r="J1" s="53"/>
      <c r="L1" s="53"/>
    </row>
    <row r="2" spans="1:12" s="8" customFormat="1" ht="12.75">
      <c r="A2" s="73" t="s">
        <v>202</v>
      </c>
      <c r="B2" s="72">
        <v>2013</v>
      </c>
      <c r="C2" s="75" t="s">
        <v>203</v>
      </c>
      <c r="D2" s="72">
        <v>2013</v>
      </c>
      <c r="E2" s="75" t="s">
        <v>204</v>
      </c>
      <c r="F2" s="74">
        <v>41275</v>
      </c>
      <c r="G2" s="76" t="s">
        <v>205</v>
      </c>
      <c r="H2" s="74">
        <v>41639</v>
      </c>
      <c r="K2" s="5"/>
      <c r="L2" s="74"/>
    </row>
    <row r="3" spans="14:15" ht="13.5" thickBot="1">
      <c r="N3" s="57" t="s">
        <v>16</v>
      </c>
      <c r="O3" s="58" t="s">
        <v>13</v>
      </c>
    </row>
    <row r="4" spans="1:15" ht="12.75">
      <c r="A4" s="23" t="s">
        <v>183</v>
      </c>
      <c r="B4" s="24"/>
      <c r="C4" s="24"/>
      <c r="D4" s="24"/>
      <c r="E4" s="24"/>
      <c r="F4" s="24"/>
      <c r="G4" s="24"/>
      <c r="H4" s="25"/>
      <c r="I4" s="26"/>
      <c r="J4" s="39"/>
      <c r="K4" s="24"/>
      <c r="L4" s="25"/>
      <c r="M4" s="38"/>
      <c r="N4" s="70">
        <f>B2</f>
        <v>2013</v>
      </c>
      <c r="O4" s="56">
        <v>2592</v>
      </c>
    </row>
    <row r="5" spans="1:17" ht="12.75">
      <c r="A5" s="18"/>
      <c r="B5" s="43" t="s">
        <v>1</v>
      </c>
      <c r="C5" s="44">
        <f>B2-1</f>
        <v>2012</v>
      </c>
      <c r="D5" s="47" t="s">
        <v>0</v>
      </c>
      <c r="E5" s="48">
        <f>B2</f>
        <v>2013</v>
      </c>
      <c r="F5" s="43" t="s">
        <v>1</v>
      </c>
      <c r="G5" s="48">
        <f>B2</f>
        <v>2013</v>
      </c>
      <c r="H5" s="48" t="s">
        <v>2</v>
      </c>
      <c r="I5" s="4" t="s">
        <v>14</v>
      </c>
      <c r="J5" s="47" t="s">
        <v>0</v>
      </c>
      <c r="K5" s="48">
        <f>D2</f>
        <v>2013</v>
      </c>
      <c r="L5" s="48" t="s">
        <v>251</v>
      </c>
      <c r="M5" s="4" t="s">
        <v>14</v>
      </c>
      <c r="N5" s="58" t="s">
        <v>201</v>
      </c>
      <c r="O5" s="95">
        <v>0</v>
      </c>
      <c r="P5" s="100"/>
      <c r="Q5" s="49"/>
    </row>
    <row r="6" spans="1:15" ht="13.5" thickBot="1">
      <c r="A6" s="29" t="s">
        <v>3</v>
      </c>
      <c r="B6" s="30"/>
      <c r="C6" s="31"/>
      <c r="D6" s="32"/>
      <c r="E6" s="33"/>
      <c r="F6" s="30"/>
      <c r="G6" s="33"/>
      <c r="H6" s="91" t="s">
        <v>4</v>
      </c>
      <c r="I6" s="4"/>
      <c r="J6" s="32"/>
      <c r="K6" s="33"/>
      <c r="L6" s="91" t="s">
        <v>4</v>
      </c>
      <c r="M6" s="4"/>
      <c r="N6" s="92">
        <f>D2</f>
        <v>2013</v>
      </c>
      <c r="O6" s="101">
        <f>SUM(O4:O5)</f>
        <v>2592</v>
      </c>
    </row>
    <row r="7" spans="1:13" ht="13.5" thickTop="1">
      <c r="A7" s="35" t="str">
        <f>Saldobalance!B6</f>
        <v>GEF ejerne</v>
      </c>
      <c r="B7" s="13"/>
      <c r="C7" s="3">
        <v>-777600</v>
      </c>
      <c r="D7" s="13"/>
      <c r="E7" s="15">
        <f>Saldobalance!C6</f>
        <v>-777600</v>
      </c>
      <c r="F7" s="13"/>
      <c r="G7" s="15">
        <f>Saldobalance!D6</f>
        <v>-259200</v>
      </c>
      <c r="H7" s="9">
        <f>(G7-E7)/E7*100</f>
        <v>-66.66666666666666</v>
      </c>
      <c r="I7" s="4"/>
      <c r="J7" s="13"/>
      <c r="K7" s="15">
        <f>-(25*12)*(O6)</f>
        <v>-777600</v>
      </c>
      <c r="L7" s="9">
        <f>(K7-E7)/E7*100</f>
        <v>0</v>
      </c>
      <c r="M7" s="4"/>
    </row>
    <row r="8" spans="1:15" ht="12.75">
      <c r="A8" s="35" t="str">
        <f>Saldobalance!B7</f>
        <v>GEF lejerne</v>
      </c>
      <c r="B8" s="13"/>
      <c r="C8" s="6">
        <v>-46656</v>
      </c>
      <c r="D8" s="13"/>
      <c r="E8" s="6">
        <f>Saldobalance!C7</f>
        <v>-46656</v>
      </c>
      <c r="F8" s="13"/>
      <c r="G8" s="6">
        <f>Saldobalance!D7</f>
        <v>-15552</v>
      </c>
      <c r="H8" s="9">
        <f>(G8-E8)/E8*100</f>
        <v>-66.66666666666666</v>
      </c>
      <c r="I8" s="4"/>
      <c r="J8" s="13"/>
      <c r="K8" s="6">
        <f>-(O6*12)*1.5</f>
        <v>-46656</v>
      </c>
      <c r="L8" s="9">
        <f>(K8-E8)/E8*100</f>
        <v>0</v>
      </c>
      <c r="M8" s="4"/>
      <c r="N8" s="82" t="s">
        <v>252</v>
      </c>
      <c r="O8" s="95">
        <f>O6*0.75*2</f>
        <v>3888</v>
      </c>
    </row>
    <row r="9" spans="1:15" ht="12.75">
      <c r="A9" s="35" t="str">
        <f>Saldobalance!B8</f>
        <v>Rykkergebyr</v>
      </c>
      <c r="B9" s="13"/>
      <c r="C9" s="3">
        <v>-2000</v>
      </c>
      <c r="D9" s="13"/>
      <c r="E9" s="6">
        <f>Saldobalance!C8</f>
        <v>-2000</v>
      </c>
      <c r="F9" s="13"/>
      <c r="G9" s="6">
        <f>Saldobalance!D8</f>
        <v>-700</v>
      </c>
      <c r="H9" s="9">
        <f>(G9-E9)/E9*100</f>
        <v>-65</v>
      </c>
      <c r="I9" s="4"/>
      <c r="J9" s="13"/>
      <c r="K9" s="6">
        <v>-2000</v>
      </c>
      <c r="L9" s="9">
        <f>(K9-E9)/E9*100</f>
        <v>0</v>
      </c>
      <c r="M9" s="4"/>
      <c r="N9" s="82" t="s">
        <v>264</v>
      </c>
      <c r="O9" s="95">
        <f>(J79/12-Saldobalance!C85/12)</f>
        <v>0</v>
      </c>
    </row>
    <row r="10" spans="1:13" ht="12.75">
      <c r="A10" s="35" t="str">
        <f>Saldobalance!B9</f>
        <v>Andre indtægter</v>
      </c>
      <c r="B10" s="13"/>
      <c r="C10" s="51">
        <v>-16193.24</v>
      </c>
      <c r="D10" s="13"/>
      <c r="E10" s="6">
        <f>Saldobalance!C9</f>
        <v>0</v>
      </c>
      <c r="F10" s="13"/>
      <c r="G10" s="6">
        <f>Saldobalance!D9</f>
        <v>0</v>
      </c>
      <c r="H10" s="91" t="e">
        <f>(G10-E10)/E10*100</f>
        <v>#DIV/0!</v>
      </c>
      <c r="I10" s="4">
        <v>1</v>
      </c>
      <c r="J10" s="13"/>
      <c r="K10" s="51">
        <v>0</v>
      </c>
      <c r="L10" s="91" t="e">
        <f>(K10-E10)/E10*100</f>
        <v>#DIV/0!</v>
      </c>
      <c r="M10" s="4"/>
    </row>
    <row r="11" spans="1:13" ht="13.5" thickBot="1">
      <c r="A11" s="21" t="str">
        <f>Saldobalance!B10</f>
        <v>Fællesindtægter i alt</v>
      </c>
      <c r="B11" s="37"/>
      <c r="C11" s="7">
        <v>-842449.24</v>
      </c>
      <c r="D11" s="37"/>
      <c r="E11" s="7">
        <f>Saldobalance!C10</f>
        <v>-826256</v>
      </c>
      <c r="F11" s="37"/>
      <c r="G11" s="7">
        <f>Saldobalance!D10</f>
        <v>-275452</v>
      </c>
      <c r="H11" s="110">
        <f>(G11-E11)/E11*100</f>
        <v>-66.66263240448481</v>
      </c>
      <c r="I11" s="4"/>
      <c r="J11" s="37"/>
      <c r="K11" s="108">
        <f>SUM(K7:K10)</f>
        <v>-826256</v>
      </c>
      <c r="L11" s="111">
        <f>(K11-E11)/E11*100</f>
        <v>0</v>
      </c>
      <c r="M11" s="4"/>
    </row>
    <row r="12" spans="1:13" ht="12.75">
      <c r="A12" s="12"/>
      <c r="B12" s="1"/>
      <c r="D12" s="1"/>
      <c r="F12" s="1"/>
      <c r="I12" s="4"/>
      <c r="J12" s="1"/>
      <c r="M12" s="4"/>
    </row>
    <row r="13" spans="1:13" ht="13.5" thickBot="1">
      <c r="A13" s="12"/>
      <c r="B13" s="1"/>
      <c r="C13" s="17"/>
      <c r="D13" s="1"/>
      <c r="E13" s="17"/>
      <c r="F13" s="1"/>
      <c r="G13" s="17"/>
      <c r="H13" s="17"/>
      <c r="I13" s="4"/>
      <c r="J13" s="1"/>
      <c r="K13" s="17"/>
      <c r="L13" s="17"/>
      <c r="M13" s="4"/>
    </row>
    <row r="14" spans="1:15" ht="12.75">
      <c r="A14" s="23" t="s">
        <v>184</v>
      </c>
      <c r="B14" s="39"/>
      <c r="C14" s="24"/>
      <c r="D14" s="24"/>
      <c r="E14" s="24"/>
      <c r="F14" s="24"/>
      <c r="G14" s="24"/>
      <c r="H14" s="40"/>
      <c r="I14" s="4"/>
      <c r="J14" s="39"/>
      <c r="K14" s="24"/>
      <c r="L14" s="25"/>
      <c r="M14" s="4"/>
      <c r="N14" s="82" t="s">
        <v>228</v>
      </c>
      <c r="O14" s="82"/>
    </row>
    <row r="15" spans="1:15" ht="12.75">
      <c r="A15" s="18"/>
      <c r="B15" s="45" t="str">
        <f>$B$5</f>
        <v>Regnskab </v>
      </c>
      <c r="C15" s="46">
        <f>$C$5</f>
        <v>2012</v>
      </c>
      <c r="D15" s="45" t="str">
        <f>$D$5</f>
        <v>Budget </v>
      </c>
      <c r="E15" s="46">
        <f>$E$5</f>
        <v>2013</v>
      </c>
      <c r="F15" s="45" t="str">
        <f>$F$5</f>
        <v>Regnskab </v>
      </c>
      <c r="G15" s="46">
        <f>$G$5</f>
        <v>2013</v>
      </c>
      <c r="H15" s="46" t="str">
        <f>$H$5</f>
        <v>Difference </v>
      </c>
      <c r="I15" s="4"/>
      <c r="J15" s="45" t="str">
        <f>$J$5</f>
        <v>Budget </v>
      </c>
      <c r="K15" s="46">
        <f>$K$5</f>
        <v>2013</v>
      </c>
      <c r="L15" s="46" t="str">
        <f>$L$5</f>
        <v>Stigning</v>
      </c>
      <c r="M15" s="4"/>
      <c r="N15" s="82" t="s">
        <v>229</v>
      </c>
      <c r="O15" s="95">
        <f>K137</f>
        <v>123.58296169398818</v>
      </c>
    </row>
    <row r="16" spans="1:15" ht="12.75">
      <c r="A16" s="29" t="s">
        <v>3</v>
      </c>
      <c r="B16" s="32"/>
      <c r="C16" s="33"/>
      <c r="D16" s="32"/>
      <c r="E16" s="33"/>
      <c r="F16" s="32"/>
      <c r="G16" s="33"/>
      <c r="H16" s="91" t="s">
        <v>4</v>
      </c>
      <c r="I16" s="4"/>
      <c r="J16" s="32"/>
      <c r="K16" s="33"/>
      <c r="L16" s="91" t="s">
        <v>4</v>
      </c>
      <c r="M16" s="4"/>
      <c r="N16" s="83" t="s">
        <v>248</v>
      </c>
      <c r="O16" s="95">
        <f>-K75</f>
        <v>20168.660000000003</v>
      </c>
    </row>
    <row r="17" spans="1:15" ht="12.75">
      <c r="A17" s="19"/>
      <c r="B17" s="13"/>
      <c r="C17" s="6"/>
      <c r="D17" s="13"/>
      <c r="E17" s="6"/>
      <c r="F17" s="13"/>
      <c r="G17" s="6"/>
      <c r="H17" s="6"/>
      <c r="I17" s="4"/>
      <c r="J17" s="13"/>
      <c r="K17" s="6"/>
      <c r="L17" s="6"/>
      <c r="M17" s="4"/>
      <c r="N17" s="82"/>
      <c r="O17" s="95"/>
    </row>
    <row r="18" spans="1:15" ht="12.75">
      <c r="A18" s="35" t="str">
        <f>Saldobalance!B14</f>
        <v>Rep og vedligehold</v>
      </c>
      <c r="B18" s="13"/>
      <c r="C18" s="2">
        <v>94886.38</v>
      </c>
      <c r="D18" s="13"/>
      <c r="E18" s="2">
        <f>Saldobalance!C22</f>
        <v>139000</v>
      </c>
      <c r="F18" s="13"/>
      <c r="G18" s="2">
        <f>Saldobalance!D22</f>
        <v>34210.17</v>
      </c>
      <c r="H18" s="9">
        <f>(G18-E18)/E18*100</f>
        <v>-75.38836690647483</v>
      </c>
      <c r="I18" s="4"/>
      <c r="J18" s="13"/>
      <c r="K18" s="2">
        <f>SUM(J19:J25)</f>
        <v>139000</v>
      </c>
      <c r="L18" s="9">
        <f>(K18-E18)/E18*100</f>
        <v>0</v>
      </c>
      <c r="M18" s="4"/>
      <c r="N18" s="82" t="s">
        <v>230</v>
      </c>
      <c r="O18" s="95"/>
    </row>
    <row r="19" spans="1:15" ht="12.75">
      <c r="A19" s="10" t="str">
        <f>Saldobalance!B15</f>
        <v>Rep maskine og anlæg</v>
      </c>
      <c r="B19" s="10">
        <v>29373.1</v>
      </c>
      <c r="C19" s="11"/>
      <c r="D19" s="10">
        <f>Saldobalance!C15</f>
        <v>25000</v>
      </c>
      <c r="E19" s="11"/>
      <c r="F19" s="10">
        <f>Saldobalance!D15</f>
        <v>371.25</v>
      </c>
      <c r="G19" s="11"/>
      <c r="H19" s="11"/>
      <c r="I19" s="4">
        <v>2</v>
      </c>
      <c r="J19" s="103">
        <v>25000</v>
      </c>
      <c r="K19" s="11"/>
      <c r="L19" s="11"/>
      <c r="M19" s="4"/>
      <c r="N19" s="83" t="s">
        <v>249</v>
      </c>
      <c r="O19" s="95">
        <f>O6+(-O15/(25*12))</f>
        <v>2591.588056794353</v>
      </c>
    </row>
    <row r="20" spans="1:17" ht="12.75">
      <c r="A20" s="10" t="str">
        <f>Saldobalance!B16</f>
        <v>Rep og service Gasfyr</v>
      </c>
      <c r="B20" s="10">
        <v>37149.23</v>
      </c>
      <c r="C20" s="11"/>
      <c r="D20" s="10">
        <f>Saldobalance!C16</f>
        <v>20000</v>
      </c>
      <c r="E20" s="11"/>
      <c r="F20" s="10">
        <f>Saldobalance!D16</f>
        <v>10464.23</v>
      </c>
      <c r="G20" s="11"/>
      <c r="H20" s="11"/>
      <c r="I20" s="4">
        <v>3</v>
      </c>
      <c r="J20" s="103">
        <v>20000</v>
      </c>
      <c r="K20" s="11"/>
      <c r="L20" s="11"/>
      <c r="M20" s="4"/>
      <c r="N20" s="83" t="s">
        <v>246</v>
      </c>
      <c r="O20" s="95">
        <f>O19-O6</f>
        <v>-0.4119432056468213</v>
      </c>
      <c r="P20" s="99"/>
      <c r="Q20" s="99"/>
    </row>
    <row r="21" spans="1:17" ht="12.75">
      <c r="A21" s="10" t="str">
        <f>Saldobalance!B17</f>
        <v>Rep. vaskeriet</v>
      </c>
      <c r="B21" s="86">
        <v>0</v>
      </c>
      <c r="C21" s="87"/>
      <c r="D21" s="86">
        <f>Saldobalance!C17</f>
        <v>25000</v>
      </c>
      <c r="E21" s="87"/>
      <c r="F21" s="86">
        <f>Saldobalance!D17</f>
        <v>20103.61</v>
      </c>
      <c r="G21" s="87"/>
      <c r="H21" s="87"/>
      <c r="I21" s="4"/>
      <c r="J21" s="103">
        <v>25000</v>
      </c>
      <c r="K21" s="11"/>
      <c r="L21" s="87"/>
      <c r="M21" s="4" t="s">
        <v>301</v>
      </c>
      <c r="P21" s="70"/>
      <c r="Q21" s="70"/>
    </row>
    <row r="22" spans="1:17" ht="12.75">
      <c r="A22" s="10" t="str">
        <f>Saldobalance!B18</f>
        <v>Indv. vedl. FÆ-hus</v>
      </c>
      <c r="B22" s="10">
        <v>3227.5</v>
      </c>
      <c r="C22" s="11"/>
      <c r="D22" s="10">
        <f>Saldobalance!C18</f>
        <v>12000</v>
      </c>
      <c r="E22" s="11"/>
      <c r="F22" s="10">
        <f>Saldobalance!D18</f>
        <v>1037.35</v>
      </c>
      <c r="G22" s="11"/>
      <c r="H22" s="11"/>
      <c r="I22" s="4"/>
      <c r="J22" s="103">
        <v>12000</v>
      </c>
      <c r="K22" s="11"/>
      <c r="L22" s="11"/>
      <c r="M22" s="4" t="s">
        <v>302</v>
      </c>
      <c r="P22" s="70"/>
      <c r="Q22" s="70"/>
    </row>
    <row r="23" spans="1:17" ht="12.75">
      <c r="A23" s="10" t="str">
        <f>Saldobalance!B19</f>
        <v>Udv. vedl. FÆ-hus</v>
      </c>
      <c r="B23" s="10">
        <v>967.5</v>
      </c>
      <c r="C23" s="11"/>
      <c r="D23" s="10">
        <f>Saldobalance!C19</f>
        <v>6000</v>
      </c>
      <c r="E23" s="11"/>
      <c r="F23" s="10">
        <f>Saldobalance!D19</f>
        <v>90</v>
      </c>
      <c r="G23" s="11"/>
      <c r="H23" s="11"/>
      <c r="I23" s="4"/>
      <c r="J23" s="103">
        <v>6000</v>
      </c>
      <c r="K23" s="11"/>
      <c r="L23" s="11"/>
      <c r="M23" s="4"/>
      <c r="P23" s="70"/>
      <c r="Q23" s="70"/>
    </row>
    <row r="24" spans="1:17" ht="12.75">
      <c r="A24" s="10" t="str">
        <f>Saldobalance!B20</f>
        <v>Vedl. fællesarealer</v>
      </c>
      <c r="B24" s="10">
        <v>24169.05</v>
      </c>
      <c r="C24" s="11"/>
      <c r="D24" s="10">
        <f>Saldobalance!C20</f>
        <v>30000</v>
      </c>
      <c r="E24" s="11"/>
      <c r="F24" s="10">
        <f>Saldobalance!D20</f>
        <v>2143.73</v>
      </c>
      <c r="G24" s="11"/>
      <c r="H24" s="11"/>
      <c r="I24" s="4"/>
      <c r="J24" s="103">
        <v>30000</v>
      </c>
      <c r="K24" s="11"/>
      <c r="L24" s="11"/>
      <c r="M24" s="4"/>
      <c r="P24" s="70"/>
      <c r="Q24" s="70"/>
    </row>
    <row r="25" spans="1:15" ht="12.75">
      <c r="A25" s="10" t="str">
        <f>Saldobalance!B21</f>
        <v>Snerydning</v>
      </c>
      <c r="B25" s="10">
        <v>0</v>
      </c>
      <c r="C25" s="11"/>
      <c r="D25" s="10">
        <f>Saldobalance!C21</f>
        <v>21000</v>
      </c>
      <c r="E25" s="11"/>
      <c r="F25" s="10">
        <f>Saldobalance!D21</f>
        <v>0</v>
      </c>
      <c r="G25" s="11"/>
      <c r="H25" s="11"/>
      <c r="I25" s="4">
        <v>4</v>
      </c>
      <c r="J25" s="103">
        <v>21000</v>
      </c>
      <c r="K25" s="11"/>
      <c r="L25" s="11"/>
      <c r="M25" s="4"/>
      <c r="N25" s="99"/>
      <c r="O25" s="70"/>
    </row>
    <row r="26" spans="1:13" ht="12.75">
      <c r="A26" s="19"/>
      <c r="B26" s="13"/>
      <c r="C26" s="6"/>
      <c r="D26" s="13"/>
      <c r="E26" s="6"/>
      <c r="F26" s="13"/>
      <c r="G26" s="6"/>
      <c r="H26" s="6"/>
      <c r="I26" s="4"/>
      <c r="J26" s="13"/>
      <c r="K26" s="6"/>
      <c r="L26" s="6"/>
      <c r="M26" s="4"/>
    </row>
    <row r="27" spans="1:13" ht="12.75">
      <c r="A27" s="35" t="str">
        <f>Saldobalance!B24</f>
        <v>Drift Fælleshus mv.</v>
      </c>
      <c r="B27" s="13"/>
      <c r="C27" s="2">
        <v>38044.48</v>
      </c>
      <c r="D27" s="13"/>
      <c r="E27" s="2">
        <f>Saldobalance!C32</f>
        <v>44200</v>
      </c>
      <c r="F27" s="13"/>
      <c r="G27" s="2">
        <f>Saldobalance!D32</f>
        <v>13849.81</v>
      </c>
      <c r="H27" s="9">
        <f>(G27-E27)/E27*100</f>
        <v>-68.66558823529412</v>
      </c>
      <c r="I27" s="4"/>
      <c r="J27" s="13"/>
      <c r="K27" s="102">
        <f>SUM(J28:J34)</f>
        <v>44200</v>
      </c>
      <c r="L27" s="9">
        <f>(K27-E27)/E27*100</f>
        <v>0</v>
      </c>
      <c r="M27" s="4"/>
    </row>
    <row r="28" spans="1:13" ht="12.75">
      <c r="A28" s="10" t="str">
        <f>Saldobalance!B25</f>
        <v>Inventar</v>
      </c>
      <c r="B28" s="10">
        <v>974.95</v>
      </c>
      <c r="C28" s="11"/>
      <c r="D28" s="10">
        <f>Saldobalance!C25</f>
        <v>2000</v>
      </c>
      <c r="E28" s="11"/>
      <c r="F28" s="10">
        <f>Saldobalance!D25</f>
        <v>2139.13</v>
      </c>
      <c r="G28" s="11"/>
      <c r="H28" s="11"/>
      <c r="I28" s="4"/>
      <c r="J28" s="103">
        <v>2000</v>
      </c>
      <c r="K28" s="11"/>
      <c r="L28" s="11"/>
      <c r="M28" s="4"/>
    </row>
    <row r="29" spans="1:13" ht="12.75">
      <c r="A29" s="10" t="str">
        <f>Saldobalance!B26</f>
        <v>Køkkenudstyr</v>
      </c>
      <c r="B29" s="10">
        <v>5281.1</v>
      </c>
      <c r="C29" s="11"/>
      <c r="D29" s="10">
        <f>Saldobalance!C26</f>
        <v>9000</v>
      </c>
      <c r="E29" s="11"/>
      <c r="F29" s="10">
        <f>Saldobalance!D26</f>
        <v>4594.37</v>
      </c>
      <c r="G29" s="11"/>
      <c r="H29" s="11"/>
      <c r="I29" s="4"/>
      <c r="J29" s="103">
        <v>9000</v>
      </c>
      <c r="K29" s="11"/>
      <c r="L29" s="11"/>
      <c r="M29" s="4"/>
    </row>
    <row r="30" spans="1:13" ht="12.75">
      <c r="A30" s="10" t="str">
        <f>Saldobalance!B27</f>
        <v>EL-artik, pærer mv</v>
      </c>
      <c r="B30" s="10">
        <v>2660.45</v>
      </c>
      <c r="C30" s="11"/>
      <c r="D30" s="10">
        <f>Saldobalance!C27</f>
        <v>3000</v>
      </c>
      <c r="E30" s="11"/>
      <c r="F30" s="10">
        <f>Saldobalance!D27</f>
        <v>2134.89</v>
      </c>
      <c r="G30" s="11"/>
      <c r="H30" s="11"/>
      <c r="I30" s="4"/>
      <c r="J30" s="103">
        <v>3000</v>
      </c>
      <c r="K30" s="11"/>
      <c r="L30" s="11"/>
      <c r="M30" s="4"/>
    </row>
    <row r="31" spans="1:13" ht="12.75">
      <c r="A31" s="10" t="str">
        <f>Saldobalance!B28</f>
        <v>Rengøringsmidler/-artikler</v>
      </c>
      <c r="B31" s="10">
        <v>24747.9</v>
      </c>
      <c r="C31" s="11"/>
      <c r="D31" s="10">
        <f>Saldobalance!C28</f>
        <v>25000</v>
      </c>
      <c r="E31" s="11"/>
      <c r="F31" s="10">
        <f>Saldobalance!D28</f>
        <v>3784.57</v>
      </c>
      <c r="G31" s="11"/>
      <c r="H31" s="11"/>
      <c r="I31" s="4">
        <v>5</v>
      </c>
      <c r="J31" s="103">
        <v>25000</v>
      </c>
      <c r="K31" s="11"/>
      <c r="L31" s="11"/>
      <c r="M31" s="4" t="s">
        <v>303</v>
      </c>
    </row>
    <row r="32" spans="1:13" ht="12.75">
      <c r="A32" s="10" t="str">
        <f>Saldobalance!B29</f>
        <v>Lys, blomster</v>
      </c>
      <c r="B32" s="10">
        <v>1188</v>
      </c>
      <c r="C32" s="11"/>
      <c r="D32" s="10">
        <f>Saldobalance!C29</f>
        <v>1200</v>
      </c>
      <c r="E32" s="11"/>
      <c r="F32" s="10">
        <f>Saldobalance!D29</f>
        <v>375</v>
      </c>
      <c r="G32" s="11"/>
      <c r="H32" s="11"/>
      <c r="I32" s="4"/>
      <c r="J32" s="103">
        <v>1200</v>
      </c>
      <c r="K32" s="11"/>
      <c r="L32" s="11"/>
      <c r="M32" s="4"/>
    </row>
    <row r="33" spans="1:13" ht="12.75">
      <c r="A33" s="10" t="str">
        <f>Saldobalance!B30</f>
        <v>Krydderier</v>
      </c>
      <c r="B33" s="10">
        <v>2577.08</v>
      </c>
      <c r="C33" s="11"/>
      <c r="D33" s="10">
        <f>Saldobalance!C30</f>
        <v>2000</v>
      </c>
      <c r="E33" s="11"/>
      <c r="F33" s="10">
        <f>Saldobalance!D30</f>
        <v>821.85</v>
      </c>
      <c r="G33" s="11"/>
      <c r="H33" s="11"/>
      <c r="I33" s="4"/>
      <c r="J33" s="103">
        <v>2000</v>
      </c>
      <c r="K33" s="11"/>
      <c r="L33" s="11"/>
      <c r="M33" s="4"/>
    </row>
    <row r="34" spans="1:13" ht="12.75">
      <c r="A34" s="10" t="str">
        <f>Saldobalance!B31</f>
        <v>Diverse Fælleshus</v>
      </c>
      <c r="B34" s="10">
        <v>615</v>
      </c>
      <c r="C34" s="11"/>
      <c r="D34" s="10">
        <f>Saldobalance!C31</f>
        <v>2000</v>
      </c>
      <c r="E34" s="11"/>
      <c r="F34" s="10">
        <f>Saldobalance!D31</f>
        <v>0</v>
      </c>
      <c r="G34" s="11"/>
      <c r="H34" s="11"/>
      <c r="I34" s="4"/>
      <c r="J34" s="103">
        <v>2000</v>
      </c>
      <c r="K34" s="11"/>
      <c r="L34" s="11"/>
      <c r="M34" s="4"/>
    </row>
    <row r="35" spans="1:13" ht="12.75">
      <c r="A35" s="19"/>
      <c r="B35" s="13"/>
      <c r="C35" s="2"/>
      <c r="D35" s="13"/>
      <c r="E35" s="2"/>
      <c r="F35" s="13"/>
      <c r="G35" s="2"/>
      <c r="H35" s="2"/>
      <c r="I35" s="4"/>
      <c r="J35" s="13"/>
      <c r="K35" s="2"/>
      <c r="L35" s="2"/>
      <c r="M35" s="4"/>
    </row>
    <row r="36" spans="1:13" ht="12.75">
      <c r="A36" s="35" t="str">
        <f>Saldobalance!B34</f>
        <v>Arrang/kultur/gaver</v>
      </c>
      <c r="B36" s="13"/>
      <c r="C36" s="2">
        <v>45336.770000000004</v>
      </c>
      <c r="D36" s="13"/>
      <c r="E36" s="2">
        <f>Saldobalance!C45</f>
        <v>64000</v>
      </c>
      <c r="F36" s="13"/>
      <c r="G36" s="2">
        <f>Saldobalance!D45</f>
        <v>7928.02</v>
      </c>
      <c r="H36" s="9">
        <f>(G36-E36)/E36*100</f>
        <v>-87.61246874999999</v>
      </c>
      <c r="I36" s="4"/>
      <c r="J36" s="13"/>
      <c r="K36" s="102">
        <f>SUM(J37:J45)</f>
        <v>64000</v>
      </c>
      <c r="L36" s="9">
        <f>(K36-E36)/E36*100</f>
        <v>0</v>
      </c>
      <c r="M36" s="4"/>
    </row>
    <row r="37" spans="1:13" ht="12.75">
      <c r="A37" s="10" t="str">
        <f>Saldobalance!B35</f>
        <v>Gaver</v>
      </c>
      <c r="B37" s="10">
        <v>6365.9</v>
      </c>
      <c r="C37" s="11"/>
      <c r="D37" s="10">
        <f>Saldobalance!C35</f>
        <v>10000</v>
      </c>
      <c r="E37" s="11"/>
      <c r="F37" s="10">
        <f>Saldobalance!D35</f>
        <v>2888.85</v>
      </c>
      <c r="G37" s="11"/>
      <c r="H37" s="11"/>
      <c r="I37" s="4"/>
      <c r="J37" s="103">
        <v>10000</v>
      </c>
      <c r="K37" s="11"/>
      <c r="L37" s="11"/>
      <c r="M37" s="4" t="s">
        <v>304</v>
      </c>
    </row>
    <row r="38" spans="1:13" ht="12.75">
      <c r="A38" s="10" t="str">
        <f>Saldobalance!B36</f>
        <v>Fester/kultur</v>
      </c>
      <c r="B38" s="10">
        <v>1469.5</v>
      </c>
      <c r="C38" s="11"/>
      <c r="D38" s="10">
        <f>Saldobalance!C36</f>
        <v>9000</v>
      </c>
      <c r="E38" s="11"/>
      <c r="F38" s="10">
        <f>Saldobalance!D36</f>
        <v>569.39</v>
      </c>
      <c r="G38" s="11"/>
      <c r="H38" s="11"/>
      <c r="I38" s="4"/>
      <c r="J38" s="103">
        <v>9000</v>
      </c>
      <c r="K38" s="11"/>
      <c r="L38" s="11"/>
      <c r="M38" s="4" t="s">
        <v>305</v>
      </c>
    </row>
    <row r="39" spans="1:13" ht="12.75">
      <c r="A39" s="10" t="str">
        <f>Saldobalance!B37</f>
        <v>Fortæring arbejdsweekends</v>
      </c>
      <c r="B39" s="10">
        <v>9438.83</v>
      </c>
      <c r="C39" s="11"/>
      <c r="D39" s="10">
        <f>Saldobalance!C37</f>
        <v>10000</v>
      </c>
      <c r="E39" s="11"/>
      <c r="F39" s="10">
        <f>Saldobalance!D37</f>
        <v>3405.55</v>
      </c>
      <c r="G39" s="11"/>
      <c r="H39" s="11"/>
      <c r="I39" s="4"/>
      <c r="J39" s="103">
        <v>10000</v>
      </c>
      <c r="K39" s="11"/>
      <c r="L39" s="11"/>
      <c r="M39" s="4" t="s">
        <v>306</v>
      </c>
    </row>
    <row r="40" spans="1:13" ht="12.75">
      <c r="A40" s="10" t="str">
        <f>Saldobalance!B38</f>
        <v>Fortæring generalforsamling</v>
      </c>
      <c r="B40" s="10">
        <v>2053.42</v>
      </c>
      <c r="C40" s="11"/>
      <c r="D40" s="10">
        <f>Saldobalance!C38</f>
        <v>2000</v>
      </c>
      <c r="E40" s="11"/>
      <c r="F40" s="10">
        <f>Saldobalance!D38</f>
        <v>115</v>
      </c>
      <c r="G40" s="11"/>
      <c r="H40" s="11"/>
      <c r="I40" s="4"/>
      <c r="J40" s="103">
        <v>2000</v>
      </c>
      <c r="K40" s="11"/>
      <c r="L40" s="11"/>
      <c r="M40" s="4"/>
    </row>
    <row r="41" spans="1:13" ht="12.75">
      <c r="A41" s="10" t="str">
        <f>Saldobalance!B39</f>
        <v>Adventsarrangementer</v>
      </c>
      <c r="B41" s="10">
        <v>3373.22</v>
      </c>
      <c r="C41" s="11"/>
      <c r="D41" s="10">
        <f>Saldobalance!C39</f>
        <v>4000</v>
      </c>
      <c r="E41" s="11"/>
      <c r="F41" s="10">
        <f>Saldobalance!D39</f>
        <v>0</v>
      </c>
      <c r="G41" s="11"/>
      <c r="H41" s="11"/>
      <c r="I41" s="4"/>
      <c r="J41" s="103">
        <v>4000</v>
      </c>
      <c r="K41" s="11"/>
      <c r="L41" s="11"/>
      <c r="M41" s="4"/>
    </row>
    <row r="42" spans="1:13" ht="12.75">
      <c r="A42" s="10" t="str">
        <f>Saldobalance!B40</f>
        <v>Fastelavn</v>
      </c>
      <c r="B42" s="10">
        <v>1701.5</v>
      </c>
      <c r="C42" s="11"/>
      <c r="D42" s="10">
        <f>Saldobalance!C40</f>
        <v>2000</v>
      </c>
      <c r="E42" s="11"/>
      <c r="F42" s="10">
        <f>Saldobalance!D40</f>
        <v>949.23</v>
      </c>
      <c r="G42" s="11"/>
      <c r="H42" s="11"/>
      <c r="I42" s="4"/>
      <c r="J42" s="103">
        <v>2000</v>
      </c>
      <c r="K42" s="11"/>
      <c r="L42" s="11"/>
      <c r="M42" s="4"/>
    </row>
    <row r="43" spans="1:13" ht="12.75">
      <c r="A43" s="10" t="str">
        <f>Saldobalance!B41</f>
        <v>Cafemøder</v>
      </c>
      <c r="B43" s="10">
        <v>797.9</v>
      </c>
      <c r="C43" s="11"/>
      <c r="D43" s="10">
        <f>Saldobalance!C41</f>
        <v>1000</v>
      </c>
      <c r="E43" s="11"/>
      <c r="F43" s="10">
        <f>Saldobalance!D41</f>
        <v>0</v>
      </c>
      <c r="G43" s="11"/>
      <c r="H43" s="11"/>
      <c r="I43" s="4"/>
      <c r="J43" s="103">
        <v>1000</v>
      </c>
      <c r="K43" s="11"/>
      <c r="L43" s="11"/>
      <c r="M43" s="4"/>
    </row>
    <row r="44" spans="1:13" ht="12.75">
      <c r="A44" s="10" t="str">
        <f>Saldobalance!B42</f>
        <v>Bakkeweekend</v>
      </c>
      <c r="B44" s="10">
        <v>19506.5</v>
      </c>
      <c r="C44" s="11"/>
      <c r="D44" s="10">
        <f>Saldobalance!C42</f>
        <v>25000</v>
      </c>
      <c r="E44" s="11"/>
      <c r="F44" s="10">
        <f>Saldobalance!D42</f>
        <v>0</v>
      </c>
      <c r="G44" s="11"/>
      <c r="H44" s="11"/>
      <c r="I44" s="4"/>
      <c r="J44" s="103">
        <v>25000</v>
      </c>
      <c r="K44" s="11"/>
      <c r="L44" s="11"/>
      <c r="M44" s="4"/>
    </row>
    <row r="45" spans="1:13" ht="12.75">
      <c r="A45" s="10" t="str">
        <f>Saldobalance!B43</f>
        <v>Skt. Hans</v>
      </c>
      <c r="B45" s="10">
        <v>630</v>
      </c>
      <c r="C45" s="11"/>
      <c r="D45" s="10">
        <f>Saldobalance!C43</f>
        <v>1000</v>
      </c>
      <c r="E45" s="11"/>
      <c r="F45" s="10">
        <f>Saldobalance!D43</f>
        <v>0</v>
      </c>
      <c r="G45" s="11"/>
      <c r="H45" s="11"/>
      <c r="I45" s="4"/>
      <c r="J45" s="103">
        <v>1000</v>
      </c>
      <c r="K45" s="11"/>
      <c r="L45" s="11"/>
      <c r="M45" s="4"/>
    </row>
    <row r="46" spans="1:13" ht="12.75">
      <c r="A46" s="34"/>
      <c r="B46" s="34"/>
      <c r="C46" s="36"/>
      <c r="D46" s="34"/>
      <c r="E46" s="36"/>
      <c r="F46" s="34"/>
      <c r="G46" s="36"/>
      <c r="H46" s="36"/>
      <c r="I46" s="4"/>
      <c r="J46" s="34"/>
      <c r="K46" s="36"/>
      <c r="L46" s="36"/>
      <c r="M46" s="4"/>
    </row>
    <row r="47" spans="1:13" ht="12.75">
      <c r="A47" s="35" t="str">
        <f>Saldobalance!B47</f>
        <v>Informationsteknologi</v>
      </c>
      <c r="B47" s="13"/>
      <c r="C47" s="2">
        <v>9904.58</v>
      </c>
      <c r="D47" s="13"/>
      <c r="E47" s="2">
        <f>Saldobalance!C52</f>
        <v>12000</v>
      </c>
      <c r="F47" s="13"/>
      <c r="G47" s="2">
        <f>Saldobalance!D52</f>
        <v>3546</v>
      </c>
      <c r="H47" s="9">
        <f>(G47-E47)/E47*100</f>
        <v>-70.45</v>
      </c>
      <c r="I47" s="4"/>
      <c r="J47" s="13"/>
      <c r="K47" s="102">
        <f>SUM(J48:J51)</f>
        <v>12000</v>
      </c>
      <c r="L47" s="9">
        <f>(K47-E47)/E47*100</f>
        <v>0</v>
      </c>
      <c r="M47" s="4"/>
    </row>
    <row r="48" spans="1:13" ht="12.75">
      <c r="A48" s="10" t="str">
        <f>Saldobalance!B48</f>
        <v>Telefon / bredbånd</v>
      </c>
      <c r="B48" s="10">
        <v>3911.08</v>
      </c>
      <c r="C48" s="11"/>
      <c r="D48" s="10">
        <f>Saldobalance!C48</f>
        <v>4000</v>
      </c>
      <c r="E48" s="11"/>
      <c r="F48" s="10">
        <f>Saldobalance!D48</f>
        <v>1231</v>
      </c>
      <c r="G48" s="11"/>
      <c r="H48" s="11"/>
      <c r="I48" s="4"/>
      <c r="J48" s="103">
        <v>4000</v>
      </c>
      <c r="K48" s="11"/>
      <c r="L48" s="11"/>
      <c r="M48" s="4"/>
    </row>
    <row r="49" spans="1:13" ht="12.75">
      <c r="A49" s="10" t="str">
        <f>Saldobalance!B49</f>
        <v>TV + licens</v>
      </c>
      <c r="B49" s="10">
        <v>4907</v>
      </c>
      <c r="C49" s="11"/>
      <c r="D49" s="10">
        <f>Saldobalance!C49</f>
        <v>5000</v>
      </c>
      <c r="E49" s="11"/>
      <c r="F49" s="10">
        <f>Saldobalance!D49</f>
        <v>2270</v>
      </c>
      <c r="G49" s="11"/>
      <c r="H49" s="11"/>
      <c r="I49" s="4"/>
      <c r="J49" s="103">
        <v>5000</v>
      </c>
      <c r="K49" s="11"/>
      <c r="L49" s="11"/>
      <c r="M49" s="4"/>
    </row>
    <row r="50" spans="1:13" ht="12.75">
      <c r="A50" s="10" t="str">
        <f>Saldobalance!B50</f>
        <v>Hjemmeside/e-mail</v>
      </c>
      <c r="B50" s="10">
        <v>467.5</v>
      </c>
      <c r="C50" s="11"/>
      <c r="D50" s="10">
        <f>Saldobalance!C50</f>
        <v>2000</v>
      </c>
      <c r="E50" s="11"/>
      <c r="F50" s="10">
        <f>Saldobalance!D50</f>
        <v>45</v>
      </c>
      <c r="G50" s="11"/>
      <c r="H50" s="11"/>
      <c r="I50" s="4"/>
      <c r="J50" s="103">
        <v>2000</v>
      </c>
      <c r="K50" s="11"/>
      <c r="L50" s="11"/>
      <c r="M50" s="4" t="s">
        <v>307</v>
      </c>
    </row>
    <row r="51" spans="1:13" ht="12.75">
      <c r="A51" s="10" t="str">
        <f>Saldobalance!B51</f>
        <v>Aviser og tidsskrifter</v>
      </c>
      <c r="B51" s="10">
        <v>619</v>
      </c>
      <c r="C51" s="11"/>
      <c r="D51" s="10">
        <f>Saldobalance!C51</f>
        <v>1000</v>
      </c>
      <c r="E51" s="11"/>
      <c r="F51" s="10">
        <f>Saldobalance!D51</f>
        <v>0</v>
      </c>
      <c r="G51" s="11"/>
      <c r="H51" s="11"/>
      <c r="I51" s="4"/>
      <c r="J51" s="103">
        <v>1000</v>
      </c>
      <c r="K51" s="11"/>
      <c r="L51" s="11"/>
      <c r="M51" s="4"/>
    </row>
    <row r="52" spans="1:13" ht="12.75">
      <c r="A52" s="34"/>
      <c r="B52" s="34"/>
      <c r="C52" s="36"/>
      <c r="D52" s="34"/>
      <c r="E52" s="36"/>
      <c r="F52" s="34"/>
      <c r="G52" s="36"/>
      <c r="H52" s="36"/>
      <c r="I52" s="4"/>
      <c r="J52" s="34"/>
      <c r="K52" s="36"/>
      <c r="L52" s="36"/>
      <c r="M52" s="4"/>
    </row>
    <row r="53" spans="1:13" ht="12.75">
      <c r="A53" s="35" t="str">
        <f>Saldobalance!B54</f>
        <v>Projekter</v>
      </c>
      <c r="B53" s="13"/>
      <c r="C53" s="5">
        <v>87529</v>
      </c>
      <c r="D53" s="13"/>
      <c r="E53" s="2">
        <f>Saldobalance!C68</f>
        <v>44000</v>
      </c>
      <c r="F53" s="13"/>
      <c r="G53" s="2">
        <f>Saldobalance!D68</f>
        <v>-90201.87</v>
      </c>
      <c r="H53" s="9">
        <f>(G53-E53)/E53*100</f>
        <v>-305.00425</v>
      </c>
      <c r="I53" s="4">
        <v>6</v>
      </c>
      <c r="J53" s="13"/>
      <c r="K53" s="105">
        <f>SUM(J54:J62)</f>
        <v>44000</v>
      </c>
      <c r="L53" s="9">
        <f>(K53-E53)/E53*100</f>
        <v>0</v>
      </c>
      <c r="M53" s="4" t="s">
        <v>308</v>
      </c>
    </row>
    <row r="54" spans="1:13" ht="12.75">
      <c r="A54" s="10" t="str">
        <f>Saldobalance!B55</f>
        <v>Asfalt</v>
      </c>
      <c r="B54" s="10">
        <v>0</v>
      </c>
      <c r="C54" s="11"/>
      <c r="D54" s="10">
        <f>Saldobalance!C55</f>
        <v>16000</v>
      </c>
      <c r="E54" s="11"/>
      <c r="F54" s="10">
        <f>Saldobalance!D55</f>
        <v>0</v>
      </c>
      <c r="G54" s="11"/>
      <c r="H54" s="11"/>
      <c r="I54" s="4"/>
      <c r="J54" s="103">
        <v>16000</v>
      </c>
      <c r="K54" s="11"/>
      <c r="L54" s="11"/>
      <c r="M54" s="4"/>
    </row>
    <row r="55" spans="1:13" ht="12.75">
      <c r="A55" s="10" t="str">
        <f>Saldobalance!B56</f>
        <v>Salg af Gården</v>
      </c>
      <c r="B55" s="10">
        <v>0</v>
      </c>
      <c r="C55" s="11"/>
      <c r="D55" s="10">
        <f>Saldobalance!C56</f>
        <v>5000</v>
      </c>
      <c r="E55" s="11"/>
      <c r="F55" s="10">
        <f>Saldobalance!D56</f>
        <v>0</v>
      </c>
      <c r="G55" s="11"/>
      <c r="H55" s="11"/>
      <c r="I55" s="4"/>
      <c r="J55" s="103">
        <v>5000</v>
      </c>
      <c r="K55" s="11"/>
      <c r="L55" s="11"/>
      <c r="M55" s="4" t="s">
        <v>310</v>
      </c>
    </row>
    <row r="56" spans="1:13" ht="12.75">
      <c r="A56" s="10" t="str">
        <f>Saldobalance!B57</f>
        <v>Kolbøtten</v>
      </c>
      <c r="B56" s="10">
        <v>0</v>
      </c>
      <c r="C56" s="11"/>
      <c r="D56" s="10">
        <f>Saldobalance!C57</f>
        <v>70000</v>
      </c>
      <c r="E56" s="11"/>
      <c r="F56" s="10">
        <f>Saldobalance!D57</f>
        <v>0</v>
      </c>
      <c r="G56" s="11"/>
      <c r="H56" s="11"/>
      <c r="I56" s="4"/>
      <c r="J56" s="103">
        <v>70000</v>
      </c>
      <c r="K56" s="11"/>
      <c r="L56" s="11"/>
      <c r="M56" s="4"/>
    </row>
    <row r="57" spans="1:13" ht="12.75">
      <c r="A57" s="10" t="str">
        <f>Saldobalance!B58</f>
        <v>Fælleshustorvet</v>
      </c>
      <c r="B57" s="10">
        <v>0</v>
      </c>
      <c r="C57" s="11"/>
      <c r="D57" s="10">
        <f>Saldobalance!C58</f>
        <v>0</v>
      </c>
      <c r="E57" s="11"/>
      <c r="F57" s="10">
        <f>Saldobalance!D58</f>
        <v>0</v>
      </c>
      <c r="G57" s="11"/>
      <c r="H57" s="11"/>
      <c r="I57" s="4"/>
      <c r="J57" s="103">
        <v>0</v>
      </c>
      <c r="K57" s="11"/>
      <c r="L57" s="11"/>
      <c r="M57" s="4"/>
    </row>
    <row r="58" spans="1:13" ht="12.75">
      <c r="A58" s="10" t="str">
        <f>Saldobalance!B59</f>
        <v>Svællemuren</v>
      </c>
      <c r="B58" s="10">
        <v>0</v>
      </c>
      <c r="C58" s="11"/>
      <c r="D58" s="10">
        <f>Saldobalance!C59</f>
        <v>0</v>
      </c>
      <c r="E58" s="11"/>
      <c r="F58" s="10">
        <f>Saldobalance!D59</f>
        <v>0</v>
      </c>
      <c r="G58" s="11"/>
      <c r="H58" s="11"/>
      <c r="I58" s="4"/>
      <c r="J58" s="103">
        <v>0</v>
      </c>
      <c r="K58" s="11"/>
      <c r="L58" s="11"/>
      <c r="M58" s="4"/>
    </row>
    <row r="59" spans="1:13" ht="12.75">
      <c r="A59" s="10" t="str">
        <f>Saldobalance!B60</f>
        <v>Fælleshusfornyelsen</v>
      </c>
      <c r="B59" s="10">
        <v>0</v>
      </c>
      <c r="C59" s="11"/>
      <c r="D59" s="10">
        <f>Saldobalance!C60</f>
        <v>36000</v>
      </c>
      <c r="E59" s="11"/>
      <c r="F59" s="10">
        <f>Saldobalance!D60</f>
        <v>0</v>
      </c>
      <c r="G59" s="11"/>
      <c r="H59" s="11"/>
      <c r="I59" s="4"/>
      <c r="J59" s="103">
        <v>36000</v>
      </c>
      <c r="K59" s="11"/>
      <c r="L59" s="11"/>
      <c r="M59" s="4"/>
    </row>
    <row r="60" spans="1:13" ht="12.75">
      <c r="A60" s="10" t="str">
        <f>Saldobalance!B61</f>
        <v>Energnisterne</v>
      </c>
      <c r="B60" s="10">
        <v>0</v>
      </c>
      <c r="C60" s="11"/>
      <c r="D60" s="10">
        <f>Saldobalance!C61</f>
        <v>10000</v>
      </c>
      <c r="E60" s="11"/>
      <c r="F60" s="10">
        <f>Saldobalance!D61</f>
        <v>2798.13</v>
      </c>
      <c r="G60" s="11"/>
      <c r="H60" s="11"/>
      <c r="I60" s="4"/>
      <c r="J60" s="103">
        <v>10000</v>
      </c>
      <c r="K60" s="11"/>
      <c r="L60" s="11"/>
      <c r="M60" s="4"/>
    </row>
    <row r="61" spans="1:13" ht="12.75">
      <c r="A61" s="10" t="str">
        <f>Saldobalance!B66</f>
        <v>Uspecificerede projekter</v>
      </c>
      <c r="B61" s="10">
        <v>87529</v>
      </c>
      <c r="C61" s="11"/>
      <c r="D61" s="10">
        <f>Saldobalance!C66</f>
        <v>0</v>
      </c>
      <c r="E61" s="11"/>
      <c r="F61" s="10">
        <f>Saldobalance!D66</f>
        <v>0</v>
      </c>
      <c r="G61" s="11"/>
      <c r="H61" s="11"/>
      <c r="I61" s="4"/>
      <c r="J61" s="103">
        <v>0</v>
      </c>
      <c r="K61" s="11"/>
      <c r="L61" s="11"/>
      <c r="M61" s="4"/>
    </row>
    <row r="62" spans="1:13" ht="12.75">
      <c r="A62" s="10" t="str">
        <f>Saldobalance!B67</f>
        <v>Overført fra opsparringen</v>
      </c>
      <c r="B62" s="10">
        <v>0</v>
      </c>
      <c r="C62" s="11"/>
      <c r="D62" s="10">
        <f>Saldobalance!C67</f>
        <v>-93000</v>
      </c>
      <c r="E62" s="11"/>
      <c r="F62" s="10">
        <f>Saldobalance!D67</f>
        <v>-93000</v>
      </c>
      <c r="G62" s="11"/>
      <c r="H62" s="11"/>
      <c r="I62" s="4"/>
      <c r="J62" s="103">
        <v>-93000</v>
      </c>
      <c r="K62" s="11"/>
      <c r="L62" s="11"/>
      <c r="M62" s="4" t="s">
        <v>311</v>
      </c>
    </row>
    <row r="63" spans="1:13" ht="12.75">
      <c r="A63" s="19"/>
      <c r="B63" s="13"/>
      <c r="C63" s="5"/>
      <c r="D63" s="13"/>
      <c r="E63" s="2"/>
      <c r="F63" s="13"/>
      <c r="G63" s="2"/>
      <c r="H63" s="2"/>
      <c r="I63" s="4"/>
      <c r="J63" s="13"/>
      <c r="K63" s="2"/>
      <c r="L63" s="2"/>
      <c r="M63" s="4"/>
    </row>
    <row r="64" spans="1:13" ht="12.75">
      <c r="A64" s="35" t="str">
        <f>Saldobalance!B69</f>
        <v>Nyanskaffelse</v>
      </c>
      <c r="B64" s="13"/>
      <c r="C64" s="5">
        <v>13614.4</v>
      </c>
      <c r="D64" s="13"/>
      <c r="E64" s="2">
        <f>Saldobalance!C69</f>
        <v>35000</v>
      </c>
      <c r="F64" s="13"/>
      <c r="G64" s="2">
        <f>Saldobalance!D69</f>
        <v>684</v>
      </c>
      <c r="H64" s="9">
        <f>(G64-E64)/E64*100</f>
        <v>-98.04571428571428</v>
      </c>
      <c r="I64" s="4"/>
      <c r="J64" s="13"/>
      <c r="K64" s="105">
        <v>35000</v>
      </c>
      <c r="L64" s="9">
        <f>(K64-E64)/E64*100</f>
        <v>0</v>
      </c>
      <c r="M64" s="4" t="s">
        <v>309</v>
      </c>
    </row>
    <row r="65" spans="1:13" ht="12.75">
      <c r="A65" s="35"/>
      <c r="B65" s="13"/>
      <c r="C65" s="5"/>
      <c r="D65" s="13"/>
      <c r="E65" s="2"/>
      <c r="F65" s="13"/>
      <c r="G65" s="2"/>
      <c r="H65" s="9"/>
      <c r="I65" s="4"/>
      <c r="J65" s="13"/>
      <c r="K65" s="2"/>
      <c r="L65" s="9"/>
      <c r="M65" s="4"/>
    </row>
    <row r="66" spans="1:13" ht="12.75">
      <c r="A66" s="35" t="str">
        <f>Saldobalance!B70</f>
        <v>Markedsføring</v>
      </c>
      <c r="B66" s="13"/>
      <c r="C66" s="5">
        <v>6979</v>
      </c>
      <c r="D66" s="13"/>
      <c r="E66" s="2">
        <f>Saldobalance!C70</f>
        <v>3000</v>
      </c>
      <c r="F66" s="13"/>
      <c r="G66" s="2">
        <f>Saldobalance!D70</f>
        <v>0</v>
      </c>
      <c r="H66" s="9">
        <f>(G66-E66)/E66*100</f>
        <v>-100</v>
      </c>
      <c r="I66" s="4">
        <v>7</v>
      </c>
      <c r="J66" s="13"/>
      <c r="K66" s="105">
        <v>3000</v>
      </c>
      <c r="L66" s="9">
        <f>(K66-E66)/E66*100</f>
        <v>0</v>
      </c>
      <c r="M66" s="4" t="s">
        <v>312</v>
      </c>
    </row>
    <row r="67" spans="1:13" ht="12.75">
      <c r="A67" s="35"/>
      <c r="B67" s="13"/>
      <c r="C67" s="5"/>
      <c r="D67" s="13"/>
      <c r="E67" s="2"/>
      <c r="F67" s="13"/>
      <c r="G67" s="2"/>
      <c r="H67" s="9"/>
      <c r="I67" s="4"/>
      <c r="J67" s="13"/>
      <c r="K67" s="2"/>
      <c r="L67" s="9"/>
      <c r="M67" s="4"/>
    </row>
    <row r="68" spans="1:13" ht="12.75">
      <c r="A68" s="35" t="str">
        <f>Saldobalance!B72</f>
        <v>Får</v>
      </c>
      <c r="B68" s="13"/>
      <c r="C68" s="5">
        <v>3502.559999999997</v>
      </c>
      <c r="D68" s="13"/>
      <c r="E68" s="2">
        <f>Saldobalance!C78</f>
        <v>14000</v>
      </c>
      <c r="F68" s="13"/>
      <c r="G68" s="2">
        <f>Saldobalance!D78</f>
        <v>-1972.8000000000002</v>
      </c>
      <c r="H68" s="9">
        <f>(G68-E68)/E68*100</f>
        <v>-114.09142857142858</v>
      </c>
      <c r="I68" s="4">
        <v>8</v>
      </c>
      <c r="J68" s="13"/>
      <c r="K68" s="102">
        <f>K69+SUM(J70:J73)</f>
        <v>14000</v>
      </c>
      <c r="L68" s="9">
        <f>(K68-E68)/E68*100</f>
        <v>0</v>
      </c>
      <c r="M68" s="4" t="s">
        <v>314</v>
      </c>
    </row>
    <row r="69" spans="1:13" ht="12.75">
      <c r="A69" s="10" t="str">
        <f>Saldobalance!B73</f>
        <v>Salg af fåreprodukter (Brutto)</v>
      </c>
      <c r="B69" s="10"/>
      <c r="C69" s="85">
        <v>-28909.65</v>
      </c>
      <c r="D69" s="86"/>
      <c r="E69" s="87">
        <f>Saldobalance!C73</f>
        <v>-22000</v>
      </c>
      <c r="F69" s="10"/>
      <c r="G69" s="87">
        <f>Saldobalance!D73</f>
        <v>-3585.4</v>
      </c>
      <c r="H69" s="11"/>
      <c r="I69" s="4"/>
      <c r="J69" s="10"/>
      <c r="K69" s="106">
        <v>-22000</v>
      </c>
      <c r="L69" s="11"/>
      <c r="M69" s="4"/>
    </row>
    <row r="70" spans="1:13" ht="12.75">
      <c r="A70" s="10" t="str">
        <f>Saldobalance!B74</f>
        <v>Rabat på fåreprodukter</v>
      </c>
      <c r="B70" s="10">
        <v>0</v>
      </c>
      <c r="C70" s="85"/>
      <c r="D70" s="86">
        <f>Saldobalance!C74</f>
        <v>2000</v>
      </c>
      <c r="E70" s="87"/>
      <c r="F70" s="10">
        <f>Saldobalance!D74</f>
        <v>0</v>
      </c>
      <c r="G70" s="87"/>
      <c r="H70" s="11"/>
      <c r="I70" s="4"/>
      <c r="J70" s="10">
        <v>2000</v>
      </c>
      <c r="K70" s="106"/>
      <c r="L70" s="11"/>
      <c r="M70" s="4" t="s">
        <v>315</v>
      </c>
    </row>
    <row r="71" spans="1:13" ht="12.75">
      <c r="A71" s="10" t="str">
        <f>Saldobalance!B75</f>
        <v>Løbende udgifter/får</v>
      </c>
      <c r="B71" s="10">
        <v>25678.85</v>
      </c>
      <c r="C71" s="11"/>
      <c r="D71" s="10">
        <f>Saldobalance!C75</f>
        <v>26000</v>
      </c>
      <c r="E71" s="11"/>
      <c r="F71" s="10">
        <f>Saldobalance!D75</f>
        <v>1103.75</v>
      </c>
      <c r="G71" s="11"/>
      <c r="H71" s="11"/>
      <c r="I71" s="4"/>
      <c r="J71" s="103">
        <v>26000</v>
      </c>
      <c r="K71" s="11"/>
      <c r="L71" s="11"/>
      <c r="M71" s="4"/>
    </row>
    <row r="72" spans="1:13" ht="12.75">
      <c r="A72" s="10" t="str">
        <f>Saldobalance!B76</f>
        <v>Engangsudgifter/får</v>
      </c>
      <c r="B72" s="10">
        <v>4042.75</v>
      </c>
      <c r="C72" s="11"/>
      <c r="D72" s="10">
        <f>Saldobalance!C76</f>
        <v>6000</v>
      </c>
      <c r="E72" s="11"/>
      <c r="F72" s="10">
        <f>Saldobalance!D76</f>
        <v>508.85</v>
      </c>
      <c r="G72" s="11"/>
      <c r="H72" s="11"/>
      <c r="I72" s="4"/>
      <c r="J72" s="103">
        <v>6000</v>
      </c>
      <c r="K72" s="11"/>
      <c r="L72" s="11"/>
      <c r="M72" s="4" t="s">
        <v>316</v>
      </c>
    </row>
    <row r="73" spans="1:13" ht="12.75">
      <c r="A73" s="10" t="str">
        <f>Saldobalance!B77</f>
        <v>Årets udvikling/får</v>
      </c>
      <c r="B73" s="10">
        <v>2690.61</v>
      </c>
      <c r="C73" s="11"/>
      <c r="D73" s="10">
        <f>Saldobalance!C77</f>
        <v>2000</v>
      </c>
      <c r="E73" s="11"/>
      <c r="F73" s="10">
        <f>Saldobalance!D77</f>
        <v>0</v>
      </c>
      <c r="G73" s="11"/>
      <c r="H73" s="11"/>
      <c r="I73" s="4"/>
      <c r="J73" s="103">
        <v>2000</v>
      </c>
      <c r="K73" s="11"/>
      <c r="L73" s="11"/>
      <c r="M73" s="4"/>
    </row>
    <row r="74" spans="1:13" ht="12.75">
      <c r="A74" s="35"/>
      <c r="B74" s="13"/>
      <c r="C74" s="36"/>
      <c r="D74" s="13"/>
      <c r="E74" s="36"/>
      <c r="F74" s="13"/>
      <c r="G74" s="36"/>
      <c r="H74" s="36"/>
      <c r="I74" s="4"/>
      <c r="J74" s="13"/>
      <c r="K74" s="36"/>
      <c r="L74" s="36"/>
      <c r="M74" s="4"/>
    </row>
    <row r="75" spans="1:13" ht="12.75">
      <c r="A75" s="35" t="str">
        <f>Saldobalance!B80</f>
        <v>Gården</v>
      </c>
      <c r="B75" s="13"/>
      <c r="C75" s="5">
        <v>-30990.15000000001</v>
      </c>
      <c r="D75" s="13"/>
      <c r="E75" s="2">
        <f>Saldobalance!C91</f>
        <v>-20168.660000000003</v>
      </c>
      <c r="F75" s="13"/>
      <c r="G75" s="2">
        <f>Saldobalance!D91</f>
        <v>5967.129999999996</v>
      </c>
      <c r="H75" s="9">
        <f>(G75-E75)/E75*100</f>
        <v>-129.58614999707464</v>
      </c>
      <c r="I75" s="4">
        <v>9</v>
      </c>
      <c r="J75" s="13"/>
      <c r="K75" s="102">
        <f>K76+K77+SUM(J78:J84)</f>
        <v>-20168.660000000003</v>
      </c>
      <c r="L75" s="9">
        <f>(K75-E75)/E75*100</f>
        <v>0</v>
      </c>
      <c r="M75" s="4"/>
    </row>
    <row r="76" spans="1:13" ht="12.75">
      <c r="A76" s="10" t="str">
        <f>Saldobalance!B81</f>
        <v>Huslejeopkrævet</v>
      </c>
      <c r="B76" s="86"/>
      <c r="C76" s="96">
        <v>-135360</v>
      </c>
      <c r="D76" s="86"/>
      <c r="E76" s="87">
        <f>Saldobalance!C81</f>
        <v>-135360</v>
      </c>
      <c r="F76" s="86"/>
      <c r="G76" s="87">
        <f>Saldobalance!D81</f>
        <v>-45120</v>
      </c>
      <c r="H76" s="11"/>
      <c r="I76" s="4"/>
      <c r="J76" s="86"/>
      <c r="K76" s="107">
        <v>-135360</v>
      </c>
      <c r="L76" s="11"/>
      <c r="M76" s="4"/>
    </row>
    <row r="77" spans="1:13" ht="12.75">
      <c r="A77" s="10" t="str">
        <f>Saldobalance!B83</f>
        <v>EL opkrævet</v>
      </c>
      <c r="B77" s="86"/>
      <c r="C77" s="87">
        <v>-9996</v>
      </c>
      <c r="D77" s="86"/>
      <c r="E77" s="87">
        <f>Saldobalance!C83</f>
        <v>-10000</v>
      </c>
      <c r="F77" s="86"/>
      <c r="G77" s="87">
        <f>Saldobalance!D83</f>
        <v>-3273</v>
      </c>
      <c r="H77" s="11"/>
      <c r="I77" s="4"/>
      <c r="J77" s="86"/>
      <c r="K77" s="107">
        <v>-10000</v>
      </c>
      <c r="L77" s="11"/>
      <c r="M77" s="4"/>
    </row>
    <row r="78" spans="1:13" ht="12.75">
      <c r="A78" s="10" t="str">
        <f>Saldobalance!B84</f>
        <v>DONG - EL</v>
      </c>
      <c r="B78" s="86">
        <v>9800.68</v>
      </c>
      <c r="C78" s="87"/>
      <c r="D78" s="86">
        <f>Saldobalance!C84</f>
        <v>10000</v>
      </c>
      <c r="E78" s="87"/>
      <c r="F78" s="86">
        <f>Saldobalance!D84</f>
        <v>2462.6</v>
      </c>
      <c r="G78" s="87"/>
      <c r="H78" s="11"/>
      <c r="I78" s="4"/>
      <c r="J78" s="104">
        <v>10000</v>
      </c>
      <c r="K78" s="87"/>
      <c r="L78" s="11"/>
      <c r="M78" s="4"/>
    </row>
    <row r="79" spans="1:13" s="3" customFormat="1" ht="12.75">
      <c r="A79" s="10" t="str">
        <f>Saldobalance!B85</f>
        <v>GEF</v>
      </c>
      <c r="B79" s="86">
        <v>46656</v>
      </c>
      <c r="C79" s="87"/>
      <c r="D79" s="86">
        <f>Saldobalance!C85</f>
        <v>46656</v>
      </c>
      <c r="E79" s="87"/>
      <c r="F79" s="86">
        <f>Saldobalance!D85</f>
        <v>15552</v>
      </c>
      <c r="G79" s="87"/>
      <c r="H79" s="11"/>
      <c r="I79" s="4"/>
      <c r="J79" s="113">
        <f>-K8</f>
        <v>46656</v>
      </c>
      <c r="K79" s="87"/>
      <c r="L79" s="11"/>
      <c r="M79" s="4"/>
    </row>
    <row r="80" spans="1:13" s="3" customFormat="1" ht="12.75">
      <c r="A80" s="10" t="str">
        <f>Saldobalance!B86</f>
        <v>Renovation</v>
      </c>
      <c r="B80" s="86">
        <v>4105</v>
      </c>
      <c r="C80" s="87"/>
      <c r="D80" s="86">
        <f>Saldobalance!C86</f>
        <v>3340</v>
      </c>
      <c r="E80" s="87"/>
      <c r="F80" s="86">
        <f>Saldobalance!D86</f>
        <v>1464.69</v>
      </c>
      <c r="G80" s="87"/>
      <c r="H80" s="11"/>
      <c r="I80" s="4"/>
      <c r="J80" s="103">
        <f>2*1670</f>
        <v>3340</v>
      </c>
      <c r="K80" s="87"/>
      <c r="L80" s="11"/>
      <c r="M80" s="4"/>
    </row>
    <row r="81" spans="1:13" s="3" customFormat="1" ht="12.75">
      <c r="A81" s="10" t="str">
        <f>Saldobalance!B87</f>
        <v>Ejendomsskat</v>
      </c>
      <c r="B81" s="86">
        <v>35891.34</v>
      </c>
      <c r="C81" s="87"/>
      <c r="D81" s="86">
        <f>Saldobalance!C87</f>
        <v>37195.34</v>
      </c>
      <c r="E81" s="87"/>
      <c r="F81" s="86">
        <f>Saldobalance!D87</f>
        <v>18597.67</v>
      </c>
      <c r="G81" s="87"/>
      <c r="H81" s="11"/>
      <c r="I81" s="4"/>
      <c r="J81" s="104">
        <f>2*18597.67</f>
        <v>37195.34</v>
      </c>
      <c r="K81" s="87"/>
      <c r="L81" s="11"/>
      <c r="M81" s="4"/>
    </row>
    <row r="82" spans="1:13" s="3" customFormat="1" ht="12.75">
      <c r="A82" s="10" t="str">
        <f>Saldobalance!B88</f>
        <v>Forsikringer - 4.318.305.792</v>
      </c>
      <c r="B82" s="86">
        <v>8966.75</v>
      </c>
      <c r="C82" s="87"/>
      <c r="D82" s="86">
        <f>Saldobalance!C88</f>
        <v>9000</v>
      </c>
      <c r="E82" s="87"/>
      <c r="F82" s="86">
        <f>Saldobalance!D88</f>
        <v>9221.94</v>
      </c>
      <c r="G82" s="87"/>
      <c r="H82" s="11"/>
      <c r="I82" s="4"/>
      <c r="J82" s="103">
        <v>9000</v>
      </c>
      <c r="K82" s="87"/>
      <c r="L82" s="11"/>
      <c r="M82" s="4"/>
    </row>
    <row r="83" spans="1:13" s="3" customFormat="1" ht="12.75">
      <c r="A83" s="10" t="str">
        <f>Saldobalance!B89</f>
        <v>Udv. Vedligehold Gården</v>
      </c>
      <c r="B83" s="86">
        <v>8946.08</v>
      </c>
      <c r="C83" s="87"/>
      <c r="D83" s="86">
        <f>Saldobalance!C89</f>
        <v>4000</v>
      </c>
      <c r="E83" s="87"/>
      <c r="F83" s="86">
        <f>Saldobalance!D89</f>
        <v>5251.4</v>
      </c>
      <c r="G83" s="87"/>
      <c r="H83" s="11"/>
      <c r="I83" s="4"/>
      <c r="J83" s="104">
        <v>4000</v>
      </c>
      <c r="K83" s="87"/>
      <c r="L83" s="11"/>
      <c r="M83" s="4" t="s">
        <v>317</v>
      </c>
    </row>
    <row r="84" spans="1:13" ht="12.75">
      <c r="A84" s="10" t="str">
        <f>Saldobalance!B90</f>
        <v>Indv. Vedligehold Gården</v>
      </c>
      <c r="B84" s="10">
        <v>0</v>
      </c>
      <c r="C84" s="85"/>
      <c r="D84" s="10">
        <f>Saldobalance!C90</f>
        <v>15000</v>
      </c>
      <c r="E84" s="85"/>
      <c r="F84" s="10">
        <f>Saldobalance!D90</f>
        <v>1809.83</v>
      </c>
      <c r="G84" s="85"/>
      <c r="H84" s="85"/>
      <c r="I84" s="4"/>
      <c r="J84" s="103">
        <v>15000</v>
      </c>
      <c r="K84" s="11"/>
      <c r="L84" s="85"/>
      <c r="M84" s="4" t="s">
        <v>325</v>
      </c>
    </row>
    <row r="85" spans="1:13" ht="12.75">
      <c r="A85" s="35"/>
      <c r="B85" s="13"/>
      <c r="C85" s="36"/>
      <c r="D85" s="13"/>
      <c r="E85" s="36"/>
      <c r="F85" s="13"/>
      <c r="G85" s="36"/>
      <c r="H85" s="36"/>
      <c r="I85" s="4"/>
      <c r="J85" s="13"/>
      <c r="K85" s="36"/>
      <c r="L85" s="36"/>
      <c r="M85" s="4"/>
    </row>
    <row r="86" spans="1:13" ht="12.75">
      <c r="A86" s="35" t="str">
        <f>Saldobalance!B94</f>
        <v>Diverse variable udgifter</v>
      </c>
      <c r="B86" s="13"/>
      <c r="C86" s="5">
        <v>0</v>
      </c>
      <c r="D86" s="13"/>
      <c r="E86" s="2">
        <f>Saldobalance!C94</f>
        <v>0</v>
      </c>
      <c r="F86" s="13"/>
      <c r="G86" s="2">
        <f>Saldobalance!D94</f>
        <v>0</v>
      </c>
      <c r="H86" s="9"/>
      <c r="I86" s="4"/>
      <c r="J86" s="13"/>
      <c r="K86" s="105">
        <v>0</v>
      </c>
      <c r="L86" s="9"/>
      <c r="M86" s="4"/>
    </row>
    <row r="87" spans="1:13" ht="12.75">
      <c r="A87" s="35"/>
      <c r="B87" s="13"/>
      <c r="C87" s="2"/>
      <c r="D87" s="13"/>
      <c r="E87" s="2"/>
      <c r="F87" s="13"/>
      <c r="G87" s="2"/>
      <c r="H87" s="2"/>
      <c r="I87" s="4"/>
      <c r="J87" s="13"/>
      <c r="K87" s="2"/>
      <c r="L87" s="2"/>
      <c r="M87" s="4"/>
    </row>
    <row r="88" spans="1:13" ht="13.5" thickBot="1">
      <c r="A88" s="21" t="s">
        <v>185</v>
      </c>
      <c r="B88" s="41"/>
      <c r="C88" s="22">
        <v>268806.92</v>
      </c>
      <c r="D88" s="41"/>
      <c r="E88" s="22">
        <f>Saldobalance!C95</f>
        <v>335031.33999999997</v>
      </c>
      <c r="F88" s="41"/>
      <c r="G88" s="22">
        <f>Saldobalance!D95</f>
        <v>-25989.54</v>
      </c>
      <c r="H88" s="84">
        <f>(G88-E88)/E88*100</f>
        <v>-107.7573459247126</v>
      </c>
      <c r="I88" s="4"/>
      <c r="J88" s="41"/>
      <c r="K88" s="22">
        <f>SUM(K18:K66)+K68+K75</f>
        <v>335031.33999999997</v>
      </c>
      <c r="L88" s="84">
        <f>(K88-E88)/E88*100</f>
        <v>0</v>
      </c>
      <c r="M88" s="4"/>
    </row>
    <row r="89" spans="9:13" ht="13.5" thickBot="1">
      <c r="I89" s="4"/>
      <c r="M89" s="4"/>
    </row>
    <row r="90" spans="1:13" ht="12.75">
      <c r="A90" s="23" t="s">
        <v>186</v>
      </c>
      <c r="B90" s="39"/>
      <c r="C90" s="24"/>
      <c r="D90" s="24"/>
      <c r="E90" s="24"/>
      <c r="F90" s="24"/>
      <c r="G90" s="24"/>
      <c r="H90" s="40"/>
      <c r="I90" s="4"/>
      <c r="J90" s="39"/>
      <c r="K90" s="24"/>
      <c r="L90" s="40"/>
      <c r="M90" s="4"/>
    </row>
    <row r="91" spans="1:13" ht="12.75">
      <c r="A91" s="18"/>
      <c r="B91" s="47" t="str">
        <f>$B$5</f>
        <v>Regnskab </v>
      </c>
      <c r="C91" s="46">
        <f>$C$5</f>
        <v>2012</v>
      </c>
      <c r="D91" s="45" t="str">
        <f>$D$5</f>
        <v>Budget </v>
      </c>
      <c r="E91" s="46">
        <f>$E$5</f>
        <v>2013</v>
      </c>
      <c r="F91" s="45" t="str">
        <f>$F$5</f>
        <v>Regnskab </v>
      </c>
      <c r="G91" s="46">
        <f>$G$5</f>
        <v>2013</v>
      </c>
      <c r="H91" s="46" t="str">
        <f>$H$5</f>
        <v>Difference </v>
      </c>
      <c r="I91" s="4"/>
      <c r="J91" s="47" t="str">
        <f>$J$5</f>
        <v>Budget </v>
      </c>
      <c r="K91" s="46">
        <f>$K$5</f>
        <v>2013</v>
      </c>
      <c r="L91" s="46" t="str">
        <f>$L$5</f>
        <v>Stigning</v>
      </c>
      <c r="M91" s="4"/>
    </row>
    <row r="92" spans="1:13" ht="12.75">
      <c r="A92" s="29" t="s">
        <v>3</v>
      </c>
      <c r="B92" s="32"/>
      <c r="C92" s="33"/>
      <c r="D92" s="32"/>
      <c r="E92" s="33"/>
      <c r="F92" s="32"/>
      <c r="G92" s="33"/>
      <c r="H92" s="33" t="s">
        <v>4</v>
      </c>
      <c r="I92" s="4"/>
      <c r="J92" s="32"/>
      <c r="K92" s="33"/>
      <c r="L92" s="33" t="s">
        <v>4</v>
      </c>
      <c r="M92" s="4"/>
    </row>
    <row r="93" spans="2:13" ht="12.75">
      <c r="B93" s="13"/>
      <c r="C93" s="36"/>
      <c r="D93" s="13"/>
      <c r="E93" s="36"/>
      <c r="F93" s="13"/>
      <c r="G93" s="36"/>
      <c r="H93" s="36"/>
      <c r="I93" s="4"/>
      <c r="J93" s="13"/>
      <c r="K93" s="36"/>
      <c r="L93" s="36"/>
      <c r="M93" s="4"/>
    </row>
    <row r="94" spans="1:13" ht="12.75">
      <c r="A94" s="35" t="str">
        <f>Saldobalance!B99</f>
        <v>Ejendomsskat</v>
      </c>
      <c r="B94" s="13"/>
      <c r="C94" s="20">
        <v>40435.29</v>
      </c>
      <c r="D94" s="13"/>
      <c r="E94" s="36">
        <f>Saldobalance!C99</f>
        <v>41966.28</v>
      </c>
      <c r="F94" s="13"/>
      <c r="G94" s="36">
        <f>Saldobalance!D99</f>
        <v>20983.14</v>
      </c>
      <c r="H94" s="9">
        <f>(G94-E94)/E94*100</f>
        <v>-50</v>
      </c>
      <c r="I94" s="4"/>
      <c r="J94" s="13"/>
      <c r="K94" s="36">
        <f>2*(19888.38+1094.76)</f>
        <v>41966.28</v>
      </c>
      <c r="L94" s="9">
        <f>(K94-E94)/E94*100</f>
        <v>0</v>
      </c>
      <c r="M94" s="4"/>
    </row>
    <row r="95" spans="1:13" ht="12.75">
      <c r="A95" s="35"/>
      <c r="B95" s="13"/>
      <c r="D95" s="13"/>
      <c r="E95" s="36"/>
      <c r="F95" s="13"/>
      <c r="G95" s="36"/>
      <c r="H95" s="36"/>
      <c r="I95" s="4"/>
      <c r="J95" s="13"/>
      <c r="K95" s="36"/>
      <c r="L95" s="36"/>
      <c r="M95" s="4"/>
    </row>
    <row r="96" spans="1:14" ht="12.75">
      <c r="A96" s="35" t="str">
        <f>Saldobalance!B100</f>
        <v>Forsikringer</v>
      </c>
      <c r="B96" s="13"/>
      <c r="C96" s="20">
        <v>36951.92</v>
      </c>
      <c r="D96" s="13"/>
      <c r="E96" s="36">
        <f>Saldobalance!C100</f>
        <v>38000</v>
      </c>
      <c r="F96" s="13"/>
      <c r="G96" s="36">
        <f>Saldobalance!D100</f>
        <v>28655.12</v>
      </c>
      <c r="H96" s="9">
        <f>(G96-E96)/E96*100</f>
        <v>-24.591789473684216</v>
      </c>
      <c r="I96" s="4"/>
      <c r="J96" s="13"/>
      <c r="K96" s="6">
        <v>38000</v>
      </c>
      <c r="L96" s="9">
        <f>(K96-E96)/E96*100</f>
        <v>0</v>
      </c>
      <c r="M96" s="4"/>
      <c r="N96" s="3"/>
    </row>
    <row r="97" spans="1:13" ht="12.75">
      <c r="A97" s="35"/>
      <c r="B97" s="13"/>
      <c r="C97" s="6"/>
      <c r="D97" s="13"/>
      <c r="E97" s="6"/>
      <c r="F97" s="13"/>
      <c r="G97" s="6"/>
      <c r="H97" s="6"/>
      <c r="I97" s="4"/>
      <c r="J97" s="13"/>
      <c r="K97" s="6"/>
      <c r="L97" s="6"/>
      <c r="M97" s="4"/>
    </row>
    <row r="98" spans="1:14" ht="12.75">
      <c r="A98" s="35" t="str">
        <f>Saldobalance!B102</f>
        <v>Afskrivninger</v>
      </c>
      <c r="B98" s="13"/>
      <c r="C98" s="2">
        <v>230158.65</v>
      </c>
      <c r="D98" s="13"/>
      <c r="E98" s="2">
        <f>Saldobalance!C108</f>
        <v>226125.79</v>
      </c>
      <c r="F98" s="13"/>
      <c r="G98" s="2">
        <f>Saldobalance!D108</f>
        <v>75090.96</v>
      </c>
      <c r="H98" s="9">
        <f>(G98-E98)/E98*100</f>
        <v>-66.79239462247982</v>
      </c>
      <c r="I98" s="4">
        <v>10</v>
      </c>
      <c r="J98" s="13"/>
      <c r="K98" s="2">
        <f>SUM(J99:J103)</f>
        <v>226125.79703830605</v>
      </c>
      <c r="L98" s="9">
        <f>(K98-E98)/E98*100</f>
        <v>3.1125622766999372E-06</v>
      </c>
      <c r="M98" s="4"/>
      <c r="N98" s="20" t="s">
        <v>247</v>
      </c>
    </row>
    <row r="99" spans="1:14" ht="12.75">
      <c r="A99" s="10" t="str">
        <f>Saldobalance!B103</f>
        <v>7AV - Stuehuset + Østlængen</v>
      </c>
      <c r="B99" s="10">
        <v>33801</v>
      </c>
      <c r="C99" s="85"/>
      <c r="D99" s="10">
        <f>Saldobalance!C103</f>
        <v>29275.35</v>
      </c>
      <c r="E99" s="85"/>
      <c r="F99" s="10">
        <f>Saldobalance!D103</f>
        <v>9758.46</v>
      </c>
      <c r="G99" s="85"/>
      <c r="H99" s="85"/>
      <c r="I99" s="4"/>
      <c r="J99" s="10">
        <v>29275.35191211661</v>
      </c>
      <c r="K99" s="11"/>
      <c r="L99" s="85"/>
      <c r="M99" s="4"/>
      <c r="N99" s="90">
        <v>2016</v>
      </c>
    </row>
    <row r="100" spans="1:14" ht="12.75">
      <c r="A100" s="10" t="str">
        <f>Saldobalance!B104</f>
        <v>Komfur &amp; Ovn, ????</v>
      </c>
      <c r="B100" s="10">
        <v>17692.96</v>
      </c>
      <c r="C100" s="85"/>
      <c r="D100" s="10">
        <f>Saldobalance!C104</f>
        <v>10039.43</v>
      </c>
      <c r="E100" s="85"/>
      <c r="F100" s="10">
        <f>Saldobalance!D104</f>
        <v>3346.48</v>
      </c>
      <c r="G100" s="85"/>
      <c r="H100" s="85"/>
      <c r="I100" s="4"/>
      <c r="J100" s="10">
        <v>10039.433106815231</v>
      </c>
      <c r="K100" s="11"/>
      <c r="L100" s="85"/>
      <c r="M100" s="4"/>
      <c r="N100" s="90">
        <v>2013</v>
      </c>
    </row>
    <row r="101" spans="1:14" ht="12.75">
      <c r="A101" s="10" t="str">
        <f>Saldobalance!B105</f>
        <v>Fyrudskiftning, 1999</v>
      </c>
      <c r="B101" s="10">
        <v>160417.53</v>
      </c>
      <c r="C101" s="85"/>
      <c r="D101" s="10">
        <f>Saldobalance!C105</f>
        <v>172513.29</v>
      </c>
      <c r="E101" s="85"/>
      <c r="F101" s="10">
        <f>Saldobalance!D105</f>
        <v>57504.44</v>
      </c>
      <c r="G101" s="85"/>
      <c r="H101" s="85"/>
      <c r="I101" s="4"/>
      <c r="J101" s="10">
        <v>172513.29309346108</v>
      </c>
      <c r="K101" s="11"/>
      <c r="L101" s="85"/>
      <c r="M101" s="4"/>
      <c r="N101" s="90">
        <v>2013</v>
      </c>
    </row>
    <row r="102" spans="1:14" ht="12.75">
      <c r="A102" s="10" t="str">
        <f>Saldobalance!B106</f>
        <v>Tørretumbler, 1999</v>
      </c>
      <c r="B102" s="10">
        <v>11245.16</v>
      </c>
      <c r="C102" s="85"/>
      <c r="D102" s="10">
        <f>Saldobalance!C106</f>
        <v>6442.72</v>
      </c>
      <c r="E102" s="85"/>
      <c r="F102" s="10">
        <f>Saldobalance!D106</f>
        <v>2147.58</v>
      </c>
      <c r="G102" s="85"/>
      <c r="H102" s="85"/>
      <c r="I102" s="4"/>
      <c r="J102" s="10">
        <v>6442.718925913117</v>
      </c>
      <c r="K102" s="11"/>
      <c r="L102" s="85"/>
      <c r="M102" s="4"/>
      <c r="N102" s="90">
        <v>2015</v>
      </c>
    </row>
    <row r="103" spans="1:14" ht="12.75">
      <c r="A103" s="10" t="str">
        <f>Saldobalance!B107</f>
        <v>Vaskemaskiner, 2011</v>
      </c>
      <c r="B103" s="10">
        <v>7002</v>
      </c>
      <c r="C103" s="85"/>
      <c r="D103" s="10">
        <f>Saldobalance!C107</f>
        <v>7855</v>
      </c>
      <c r="E103" s="85"/>
      <c r="F103" s="10">
        <f>Saldobalance!D107</f>
        <v>2334</v>
      </c>
      <c r="G103" s="85"/>
      <c r="H103" s="85"/>
      <c r="I103" s="4"/>
      <c r="J103" s="10">
        <v>7855</v>
      </c>
      <c r="K103" s="11"/>
      <c r="L103" s="85"/>
      <c r="M103" s="4"/>
      <c r="N103" s="90">
        <v>2023</v>
      </c>
    </row>
    <row r="104" spans="1:13" ht="12.75">
      <c r="A104" s="35"/>
      <c r="B104" s="88"/>
      <c r="C104" s="89"/>
      <c r="D104" s="88"/>
      <c r="E104" s="89"/>
      <c r="F104" s="88"/>
      <c r="G104" s="89"/>
      <c r="H104" s="89"/>
      <c r="I104" s="4"/>
      <c r="J104" s="88"/>
      <c r="K104" s="36"/>
      <c r="L104" s="89"/>
      <c r="M104" s="4"/>
    </row>
    <row r="105" spans="1:13" ht="12.75">
      <c r="A105" s="35" t="str">
        <f>Saldobalance!B110</f>
        <v>Renter og gebyrer</v>
      </c>
      <c r="B105" s="13"/>
      <c r="C105" s="6">
        <v>2048.84</v>
      </c>
      <c r="D105" s="13"/>
      <c r="E105" s="6">
        <f>Saldobalance!C115</f>
        <v>2000</v>
      </c>
      <c r="F105" s="13"/>
      <c r="G105" s="6">
        <f>Saldobalance!D115</f>
        <v>150</v>
      </c>
      <c r="H105" s="9"/>
      <c r="I105" s="4"/>
      <c r="J105" s="13"/>
      <c r="K105" s="6">
        <f>SUM(J106:J109)</f>
        <v>2000</v>
      </c>
      <c r="L105" s="9"/>
      <c r="M105" s="4"/>
    </row>
    <row r="106" spans="1:13" ht="12.75">
      <c r="A106" s="10" t="str">
        <f>Saldobalance!B111</f>
        <v>Nordea</v>
      </c>
      <c r="B106" s="10">
        <v>2048.84</v>
      </c>
      <c r="C106" s="11"/>
      <c r="D106" s="10">
        <f>Saldobalance!C111</f>
        <v>2000</v>
      </c>
      <c r="E106" s="11"/>
      <c r="F106" s="10">
        <f>Saldobalance!D111</f>
        <v>150</v>
      </c>
      <c r="G106" s="11"/>
      <c r="H106" s="11"/>
      <c r="I106" s="4">
        <v>11</v>
      </c>
      <c r="J106" s="10">
        <v>2000</v>
      </c>
      <c r="K106" s="11"/>
      <c r="L106" s="11"/>
      <c r="M106" s="4"/>
    </row>
    <row r="107" spans="1:13" ht="12.75">
      <c r="A107" s="10" t="str">
        <f>Saldobalance!B112</f>
        <v>Gevinst på valutakursdiff, debitorer</v>
      </c>
      <c r="B107" s="10">
        <v>0</v>
      </c>
      <c r="C107" s="11"/>
      <c r="D107" s="10">
        <f>Saldobalance!C112</f>
        <v>0</v>
      </c>
      <c r="E107" s="11"/>
      <c r="F107" s="10">
        <f>Saldobalance!D112</f>
        <v>0</v>
      </c>
      <c r="G107" s="11"/>
      <c r="H107" s="11"/>
      <c r="I107" s="4"/>
      <c r="J107" s="10">
        <v>0</v>
      </c>
      <c r="K107" s="11"/>
      <c r="L107" s="11"/>
      <c r="M107" s="4"/>
    </row>
    <row r="108" spans="1:13" ht="12.75">
      <c r="A108" s="10" t="str">
        <f>Saldobalance!B113</f>
        <v>Gevinst på valutakursdiff, kreditorer</v>
      </c>
      <c r="B108" s="10">
        <v>0</v>
      </c>
      <c r="C108" s="11"/>
      <c r="D108" s="10">
        <f>Saldobalance!C113</f>
        <v>0</v>
      </c>
      <c r="E108" s="11"/>
      <c r="F108" s="10">
        <f>Saldobalance!D113</f>
        <v>0</v>
      </c>
      <c r="G108" s="11"/>
      <c r="H108" s="11"/>
      <c r="I108" s="4"/>
      <c r="J108" s="10">
        <v>0</v>
      </c>
      <c r="K108" s="11"/>
      <c r="L108" s="11"/>
      <c r="M108" s="4"/>
    </row>
    <row r="109" spans="1:13" ht="12.75">
      <c r="A109" s="10" t="str">
        <f>Saldobalance!B114</f>
        <v>Andre renter og gebyrer</v>
      </c>
      <c r="B109" s="10">
        <v>0</v>
      </c>
      <c r="C109" s="11"/>
      <c r="D109" s="10">
        <f>Saldobalance!C114</f>
        <v>0</v>
      </c>
      <c r="E109" s="11"/>
      <c r="F109" s="10">
        <f>Saldobalance!D114</f>
        <v>0</v>
      </c>
      <c r="G109" s="11"/>
      <c r="H109" s="11"/>
      <c r="I109" s="97"/>
      <c r="J109" s="10">
        <v>0</v>
      </c>
      <c r="K109" s="11"/>
      <c r="L109" s="11"/>
      <c r="M109" s="4"/>
    </row>
    <row r="110" spans="1:13" ht="12.75">
      <c r="A110" s="35"/>
      <c r="B110" s="13"/>
      <c r="C110" s="36"/>
      <c r="D110" s="13"/>
      <c r="E110" s="36"/>
      <c r="F110" s="13"/>
      <c r="G110" s="36"/>
      <c r="H110" s="36"/>
      <c r="I110" s="4"/>
      <c r="J110" s="13"/>
      <c r="K110" s="36"/>
      <c r="L110" s="36"/>
      <c r="M110" s="4"/>
    </row>
    <row r="111" spans="1:13" ht="12.75">
      <c r="A111" s="35" t="str">
        <f>Saldobalance!B117</f>
        <v>Ressourceforbrug i Fælleshuset</v>
      </c>
      <c r="B111" s="13"/>
      <c r="C111" s="2">
        <v>162780.37000000002</v>
      </c>
      <c r="D111" s="13"/>
      <c r="E111" s="2">
        <f>Saldobalance!C123</f>
        <v>140300</v>
      </c>
      <c r="F111" s="13"/>
      <c r="G111" s="2">
        <f>Saldobalance!D123</f>
        <v>39642.57</v>
      </c>
      <c r="H111" s="9">
        <f>(G111-E111)/E111*100</f>
        <v>-71.74442622950819</v>
      </c>
      <c r="I111" s="4"/>
      <c r="J111" s="13"/>
      <c r="K111" s="2">
        <f>SUM(J112:J116)</f>
        <v>140300</v>
      </c>
      <c r="L111" s="9">
        <f>(K111-E111)/E111*100</f>
        <v>0</v>
      </c>
      <c r="M111" s="4"/>
    </row>
    <row r="112" spans="1:14" ht="12.75">
      <c r="A112" s="10" t="str">
        <f>Saldobalance!B118</f>
        <v>Renovation</v>
      </c>
      <c r="B112" s="10">
        <v>12595.98</v>
      </c>
      <c r="C112" s="85"/>
      <c r="D112" s="10">
        <f>Saldobalance!C118</f>
        <v>10900</v>
      </c>
      <c r="E112" s="85"/>
      <c r="F112" s="10">
        <f>Saldobalance!D118</f>
        <v>3676.52</v>
      </c>
      <c r="G112" s="85"/>
      <c r="H112" s="85"/>
      <c r="I112" s="4"/>
      <c r="J112" s="10">
        <f>7900+3000</f>
        <v>10900</v>
      </c>
      <c r="K112" s="11"/>
      <c r="L112" s="85"/>
      <c r="M112" s="4"/>
      <c r="N112" s="3"/>
    </row>
    <row r="113" spans="1:13" ht="12.75">
      <c r="A113" s="10" t="str">
        <f>Saldobalance!B119</f>
        <v>EL</v>
      </c>
      <c r="B113" s="10">
        <v>60599.6</v>
      </c>
      <c r="C113" s="85"/>
      <c r="D113" s="10">
        <f>Saldobalance!C119</f>
        <v>63200</v>
      </c>
      <c r="E113" s="85"/>
      <c r="F113" s="10">
        <f>Saldobalance!D119</f>
        <v>15981.05</v>
      </c>
      <c r="G113" s="85"/>
      <c r="H113" s="85"/>
      <c r="I113" s="4"/>
      <c r="J113" s="10">
        <v>63200</v>
      </c>
      <c r="K113" s="11"/>
      <c r="L113" s="85"/>
      <c r="M113" s="4"/>
    </row>
    <row r="114" spans="1:13" ht="12.75">
      <c r="A114" s="10" t="str">
        <f>Saldobalance!B120</f>
        <v>Varme / gas</v>
      </c>
      <c r="B114" s="10">
        <v>54796</v>
      </c>
      <c r="C114" s="85"/>
      <c r="D114" s="10">
        <f>Saldobalance!C120</f>
        <v>44000</v>
      </c>
      <c r="E114" s="85"/>
      <c r="F114" s="10">
        <f>Saldobalance!D120</f>
        <v>12756</v>
      </c>
      <c r="G114" s="85"/>
      <c r="H114" s="85"/>
      <c r="I114" s="4">
        <v>12</v>
      </c>
      <c r="J114" s="10">
        <v>44000</v>
      </c>
      <c r="K114" s="11"/>
      <c r="L114" s="85"/>
      <c r="M114" s="4" t="s">
        <v>326</v>
      </c>
    </row>
    <row r="115" spans="1:14" ht="12.75">
      <c r="A115" s="10" t="str">
        <f>Saldobalance!B121</f>
        <v>Vand</v>
      </c>
      <c r="B115" s="10">
        <v>32306</v>
      </c>
      <c r="C115" s="85"/>
      <c r="D115" s="10">
        <f>Saldobalance!C121</f>
        <v>19200</v>
      </c>
      <c r="E115" s="85"/>
      <c r="F115" s="10">
        <f>Saldobalance!D121</f>
        <v>6829</v>
      </c>
      <c r="G115" s="85"/>
      <c r="H115" s="85"/>
      <c r="I115" s="4">
        <v>13</v>
      </c>
      <c r="J115" s="10">
        <f>6*3200</f>
        <v>19200</v>
      </c>
      <c r="K115" s="11"/>
      <c r="L115" s="85"/>
      <c r="M115" s="4" t="s">
        <v>332</v>
      </c>
      <c r="N115" s="3"/>
    </row>
    <row r="116" spans="1:13" ht="12.75">
      <c r="A116" s="10" t="str">
        <f>Saldobalance!B122</f>
        <v>Vask</v>
      </c>
      <c r="B116" s="10">
        <v>2482.79</v>
      </c>
      <c r="C116" s="85"/>
      <c r="D116" s="10">
        <f>Saldobalance!C122</f>
        <v>3000</v>
      </c>
      <c r="E116" s="85"/>
      <c r="F116" s="10">
        <f>Saldobalance!D122</f>
        <v>400</v>
      </c>
      <c r="G116" s="85"/>
      <c r="H116" s="85"/>
      <c r="I116" s="4"/>
      <c r="J116" s="10">
        <v>3000</v>
      </c>
      <c r="K116" s="11"/>
      <c r="L116" s="85"/>
      <c r="M116" s="4"/>
    </row>
    <row r="117" spans="1:13" ht="12.75">
      <c r="A117" s="34"/>
      <c r="B117" s="34"/>
      <c r="C117" s="36"/>
      <c r="D117" s="34"/>
      <c r="E117" s="36"/>
      <c r="F117" s="34"/>
      <c r="G117" s="36"/>
      <c r="H117" s="36"/>
      <c r="I117" s="4"/>
      <c r="J117" s="34"/>
      <c r="K117" s="36"/>
      <c r="L117" s="36"/>
      <c r="M117" s="4"/>
    </row>
    <row r="118" spans="1:13" ht="12.75">
      <c r="A118" s="35" t="str">
        <f>Saldobalance!B125</f>
        <v>Bestyrelsen</v>
      </c>
      <c r="B118" s="13"/>
      <c r="C118" s="36">
        <v>8698.5</v>
      </c>
      <c r="D118" s="13"/>
      <c r="E118" s="36">
        <f>Saldobalance!C129</f>
        <v>10500</v>
      </c>
      <c r="F118" s="13"/>
      <c r="G118" s="36">
        <f>Saldobalance!D129</f>
        <v>3639.75</v>
      </c>
      <c r="H118" s="9">
        <f>(G118-E118)/E118*100</f>
        <v>-65.33571428571429</v>
      </c>
      <c r="I118" s="4"/>
      <c r="J118" s="13"/>
      <c r="K118" s="36">
        <f>SUM(J119:J121)</f>
        <v>10500</v>
      </c>
      <c r="L118" s="9">
        <f>(K118-E118)/E118*100</f>
        <v>0</v>
      </c>
      <c r="M118" s="4"/>
    </row>
    <row r="119" spans="1:13" ht="12.75">
      <c r="A119" s="10" t="str">
        <f>Saldobalance!B126</f>
        <v>Drift af bestyrelsen</v>
      </c>
      <c r="B119" s="10">
        <v>2453.5</v>
      </c>
      <c r="C119" s="11"/>
      <c r="D119" s="10">
        <f>Saldobalance!C126</f>
        <v>3500</v>
      </c>
      <c r="E119" s="11"/>
      <c r="F119" s="10">
        <f>Saldobalance!D126</f>
        <v>0</v>
      </c>
      <c r="G119" s="11"/>
      <c r="H119" s="11"/>
      <c r="I119" s="4"/>
      <c r="J119" s="10">
        <v>3500</v>
      </c>
      <c r="K119" s="11"/>
      <c r="L119" s="11"/>
      <c r="M119" s="4"/>
    </row>
    <row r="120" spans="1:13" ht="12.75">
      <c r="A120" s="10" t="str">
        <f>Saldobalance!B127</f>
        <v>Kontorartikler og Porto</v>
      </c>
      <c r="B120" s="10">
        <v>271</v>
      </c>
      <c r="C120" s="11"/>
      <c r="D120" s="10">
        <f>Saldobalance!C127</f>
        <v>1500</v>
      </c>
      <c r="E120" s="11"/>
      <c r="F120" s="10">
        <f>Saldobalance!D127</f>
        <v>921</v>
      </c>
      <c r="G120" s="11"/>
      <c r="H120" s="11"/>
      <c r="I120" s="4"/>
      <c r="J120" s="10">
        <v>1500</v>
      </c>
      <c r="K120" s="11"/>
      <c r="L120" s="11"/>
      <c r="M120" s="4" t="s">
        <v>333</v>
      </c>
    </row>
    <row r="121" spans="1:13" ht="12.75">
      <c r="A121" s="10" t="str">
        <f>Saldobalance!B128</f>
        <v>Økonomisystem</v>
      </c>
      <c r="B121" s="10">
        <v>5974</v>
      </c>
      <c r="C121" s="11"/>
      <c r="D121" s="10">
        <f>Saldobalance!C128</f>
        <v>5500</v>
      </c>
      <c r="E121" s="11"/>
      <c r="F121" s="10">
        <f>Saldobalance!D128</f>
        <v>2718.75</v>
      </c>
      <c r="G121" s="11"/>
      <c r="H121" s="11"/>
      <c r="I121" s="4">
        <v>14</v>
      </c>
      <c r="J121" s="10">
        <v>5500</v>
      </c>
      <c r="K121" s="11"/>
      <c r="L121" s="11"/>
      <c r="M121" s="4"/>
    </row>
    <row r="122" spans="1:13" ht="12.75">
      <c r="A122" s="35"/>
      <c r="B122" s="13"/>
      <c r="C122" s="6"/>
      <c r="D122" s="13"/>
      <c r="E122" s="6"/>
      <c r="F122" s="13"/>
      <c r="G122" s="6"/>
      <c r="H122" s="6"/>
      <c r="I122" s="4"/>
      <c r="J122" s="13"/>
      <c r="K122" s="6"/>
      <c r="L122" s="6"/>
      <c r="M122" s="4"/>
    </row>
    <row r="123" spans="1:13" ht="12.75">
      <c r="A123" s="35" t="str">
        <f>Saldobalance!B131</f>
        <v>Revision</v>
      </c>
      <c r="B123" s="13"/>
      <c r="C123" s="2">
        <v>32000</v>
      </c>
      <c r="D123" s="13"/>
      <c r="E123" s="2">
        <f>Saldobalance!C134</f>
        <v>30125</v>
      </c>
      <c r="F123" s="13"/>
      <c r="G123" s="2">
        <f>Saldobalance!D134</f>
        <v>21625</v>
      </c>
      <c r="H123" s="9">
        <f>(G123-E123)/E123*100</f>
        <v>-28.21576763485477</v>
      </c>
      <c r="I123" s="4"/>
      <c r="J123" s="13"/>
      <c r="K123" s="2">
        <f>SUM(J124:J125)</f>
        <v>30125</v>
      </c>
      <c r="L123" s="9">
        <f>(K123-E123)/E123*100</f>
        <v>0</v>
      </c>
      <c r="M123" s="4"/>
    </row>
    <row r="124" spans="1:14" ht="12.75">
      <c r="A124" s="10" t="str">
        <f>Saldobalance!B132</f>
        <v>GEF-regnskab</v>
      </c>
      <c r="B124" s="10">
        <v>23875</v>
      </c>
      <c r="C124" s="85"/>
      <c r="D124" s="10">
        <f>Saldobalance!C132</f>
        <v>21625</v>
      </c>
      <c r="E124" s="85"/>
      <c r="F124" s="10">
        <f>Saldobalance!D132</f>
        <v>21625</v>
      </c>
      <c r="G124" s="85"/>
      <c r="H124" s="85"/>
      <c r="I124" s="4">
        <v>15</v>
      </c>
      <c r="J124" s="10">
        <v>21625</v>
      </c>
      <c r="K124" s="11"/>
      <c r="L124" s="85"/>
      <c r="M124" s="4" t="s">
        <v>334</v>
      </c>
      <c r="N124" s="3"/>
    </row>
    <row r="125" spans="1:13" ht="12.75">
      <c r="A125" s="10" t="str">
        <f>Saldobalance!B133</f>
        <v>IS-regnskab</v>
      </c>
      <c r="B125" s="10">
        <v>8125</v>
      </c>
      <c r="C125" s="85"/>
      <c r="D125" s="10">
        <f>Saldobalance!C133</f>
        <v>8500</v>
      </c>
      <c r="E125" s="85"/>
      <c r="F125" s="10">
        <f>Saldobalance!D133</f>
        <v>0</v>
      </c>
      <c r="G125" s="85"/>
      <c r="H125" s="85"/>
      <c r="I125" s="4"/>
      <c r="J125" s="10">
        <v>8500</v>
      </c>
      <c r="K125" s="11"/>
      <c r="L125" s="85"/>
      <c r="M125" s="4"/>
    </row>
    <row r="126" spans="1:13" ht="12.75">
      <c r="A126" s="35"/>
      <c r="B126" s="13"/>
      <c r="C126" s="6"/>
      <c r="D126" s="13"/>
      <c r="E126" s="6"/>
      <c r="F126" s="13"/>
      <c r="G126" s="6"/>
      <c r="H126" s="6"/>
      <c r="I126" s="4"/>
      <c r="J126" s="13"/>
      <c r="K126" s="6"/>
      <c r="L126" s="6"/>
      <c r="M126" s="4"/>
    </row>
    <row r="127" spans="1:13" ht="12.75">
      <c r="A127" s="35" t="str">
        <f>Saldobalance!B136</f>
        <v>Diverse</v>
      </c>
      <c r="B127" s="13"/>
      <c r="C127" s="2">
        <v>84</v>
      </c>
      <c r="D127" s="13"/>
      <c r="E127" s="2">
        <f>Saldobalance!C141</f>
        <v>2084</v>
      </c>
      <c r="F127" s="13"/>
      <c r="G127" s="2">
        <f>Saldobalance!D141</f>
        <v>28</v>
      </c>
      <c r="H127" s="9">
        <f>(G127-E127)/E127*100</f>
        <v>-98.65642994241843</v>
      </c>
      <c r="I127" s="4"/>
      <c r="J127" s="13"/>
      <c r="K127" s="2">
        <f>SUM(J128:J131)</f>
        <v>2084</v>
      </c>
      <c r="L127" s="9">
        <f>(K127-E127)/E127*100</f>
        <v>0</v>
      </c>
      <c r="M127" s="4"/>
    </row>
    <row r="128" spans="1:13" ht="12.75">
      <c r="A128" s="10" t="str">
        <f>Saldobalance!B137</f>
        <v>Tab på Bofæller</v>
      </c>
      <c r="B128" s="10">
        <v>0</v>
      </c>
      <c r="C128" s="85"/>
      <c r="D128" s="10">
        <f>Saldobalance!C137</f>
        <v>0</v>
      </c>
      <c r="E128" s="85"/>
      <c r="F128" s="10">
        <f>Saldobalance!D137</f>
        <v>0</v>
      </c>
      <c r="G128" s="85"/>
      <c r="H128" s="85"/>
      <c r="I128" s="4"/>
      <c r="J128" s="10">
        <v>0</v>
      </c>
      <c r="K128" s="11"/>
      <c r="L128" s="85"/>
      <c r="M128" s="4"/>
    </row>
    <row r="129" spans="1:13" ht="12.75">
      <c r="A129" s="10" t="str">
        <f>Saldobalance!B138</f>
        <v>Øredifferencer</v>
      </c>
      <c r="B129" s="10">
        <v>0</v>
      </c>
      <c r="C129" s="85"/>
      <c r="D129" s="10">
        <f>Saldobalance!C138</f>
        <v>0</v>
      </c>
      <c r="E129" s="85"/>
      <c r="F129" s="10">
        <f>Saldobalance!D138</f>
        <v>0</v>
      </c>
      <c r="G129" s="85"/>
      <c r="H129" s="85"/>
      <c r="I129" s="4"/>
      <c r="J129" s="10">
        <v>0</v>
      </c>
      <c r="K129" s="11"/>
      <c r="L129" s="85"/>
      <c r="M129" s="4"/>
    </row>
    <row r="130" spans="1:13" ht="12.75">
      <c r="A130" s="10" t="str">
        <f>Saldobalance!B139</f>
        <v>Afrundingsfejl på Sol-projekt</v>
      </c>
      <c r="B130" s="10">
        <v>84</v>
      </c>
      <c r="C130" s="85"/>
      <c r="D130" s="10">
        <f>Saldobalance!C139</f>
        <v>84</v>
      </c>
      <c r="E130" s="85"/>
      <c r="F130" s="10">
        <f>Saldobalance!D139</f>
        <v>28</v>
      </c>
      <c r="G130" s="85"/>
      <c r="H130" s="85"/>
      <c r="I130" s="4"/>
      <c r="J130" s="10">
        <v>84</v>
      </c>
      <c r="K130" s="11"/>
      <c r="L130" s="85"/>
      <c r="M130" s="4"/>
    </row>
    <row r="131" spans="1:13" ht="12.75">
      <c r="A131" s="10" t="str">
        <f>Saldobalance!B140</f>
        <v>Diverse omkostninger</v>
      </c>
      <c r="B131" s="10">
        <v>0</v>
      </c>
      <c r="C131" s="85"/>
      <c r="D131" s="10">
        <f>Saldobalance!C140</f>
        <v>2000</v>
      </c>
      <c r="E131" s="85"/>
      <c r="F131" s="10">
        <f>Saldobalance!D140</f>
        <v>0</v>
      </c>
      <c r="G131" s="85"/>
      <c r="H131" s="85"/>
      <c r="I131" s="4"/>
      <c r="J131" s="10">
        <v>2000</v>
      </c>
      <c r="K131" s="11"/>
      <c r="L131" s="85"/>
      <c r="M131" s="4"/>
    </row>
    <row r="132" spans="1:13" ht="12.75">
      <c r="A132" s="14"/>
      <c r="B132" s="14"/>
      <c r="C132" s="50"/>
      <c r="D132" s="14"/>
      <c r="E132" s="50"/>
      <c r="F132" s="14"/>
      <c r="G132" s="50"/>
      <c r="H132" s="50"/>
      <c r="I132" s="4"/>
      <c r="J132" s="14"/>
      <c r="K132" s="50"/>
      <c r="L132" s="50"/>
      <c r="M132" s="4"/>
    </row>
    <row r="133" spans="1:13" ht="13.5" thickBot="1">
      <c r="A133" s="21" t="str">
        <f>Saldobalance!B142</f>
        <v>Faste udgifter i alt</v>
      </c>
      <c r="B133" s="37"/>
      <c r="C133" s="7">
        <v>513157.57000000007</v>
      </c>
      <c r="D133" s="37"/>
      <c r="E133" s="7">
        <f>Saldobalance!C142</f>
        <v>491101.07</v>
      </c>
      <c r="F133" s="37"/>
      <c r="G133" s="7">
        <f>Saldobalance!D142</f>
        <v>189814.54</v>
      </c>
      <c r="H133" s="109">
        <f>(G133-E133)/E133*100</f>
        <v>-61.349190300074085</v>
      </c>
      <c r="I133" s="4"/>
      <c r="J133" s="37"/>
      <c r="K133" s="7">
        <f>SUM(K93:K131)</f>
        <v>491101.07703830604</v>
      </c>
      <c r="L133" s="69">
        <f>(K133-E133)/E133*100</f>
        <v>1.4331685405266416E-06</v>
      </c>
      <c r="M133" s="4"/>
    </row>
    <row r="134" spans="1:14" ht="12.75">
      <c r="A134" s="12"/>
      <c r="B134" s="1"/>
      <c r="C134" s="16"/>
      <c r="D134" s="1"/>
      <c r="E134" s="16"/>
      <c r="F134" s="1"/>
      <c r="G134" s="16"/>
      <c r="H134" s="16"/>
      <c r="I134" s="4"/>
      <c r="J134" s="1"/>
      <c r="K134" s="16"/>
      <c r="L134" s="16"/>
      <c r="M134" s="4"/>
      <c r="N134" s="93"/>
    </row>
    <row r="135" spans="1:13" ht="13.5" thickBot="1">
      <c r="A135" s="21" t="str">
        <f>Saldobalance!B143</f>
        <v>Fælles udgifter i alt</v>
      </c>
      <c r="B135" s="41"/>
      <c r="C135" s="22">
        <v>781964.49</v>
      </c>
      <c r="D135" s="41"/>
      <c r="E135" s="22">
        <f>Saldobalance!C143</f>
        <v>826132.41</v>
      </c>
      <c r="F135" s="41"/>
      <c r="G135" s="22">
        <f>Saldobalance!D143</f>
        <v>163825</v>
      </c>
      <c r="H135" s="109">
        <f>(G135-E135)/E135*100</f>
        <v>-80.16964374996498</v>
      </c>
      <c r="I135" s="4"/>
      <c r="J135" s="41"/>
      <c r="K135" s="22">
        <f>SUM(K88+K133)</f>
        <v>826132.417038306</v>
      </c>
      <c r="L135" s="69">
        <f>(K135-E135)/E135*100</f>
        <v>8.519585836394022E-07</v>
      </c>
      <c r="M135" s="4"/>
    </row>
    <row r="136" spans="9:14" ht="12.75">
      <c r="I136" s="4"/>
      <c r="M136" s="4"/>
      <c r="N136" s="98"/>
    </row>
    <row r="137" spans="1:13" ht="13.5" thickBot="1">
      <c r="A137" s="21" t="str">
        <f>Saldobalance!B144</f>
        <v>Årets resultat for Bakken</v>
      </c>
      <c r="B137" s="41"/>
      <c r="C137" s="94">
        <v>60484.75000000003</v>
      </c>
      <c r="D137" s="41"/>
      <c r="E137" s="94">
        <f>-Saldobalance!C144</f>
        <v>123.58999999999651</v>
      </c>
      <c r="F137" s="41"/>
      <c r="G137" s="94">
        <f>-Saldobalance!D144</f>
        <v>111626.99999999994</v>
      </c>
      <c r="H137" s="109">
        <f>(G137-E137)/E137*100</f>
        <v>90220.41427300194</v>
      </c>
      <c r="I137" s="4">
        <v>16</v>
      </c>
      <c r="J137" s="41"/>
      <c r="K137" s="94">
        <f>-(K11+K135)</f>
        <v>123.58296169398818</v>
      </c>
      <c r="L137" s="69">
        <f>(K137-E137)/E137*100</f>
        <v>-0.005694883087892296</v>
      </c>
      <c r="M137" s="4"/>
    </row>
    <row r="138" spans="1:13" ht="12.75">
      <c r="A138" s="12"/>
      <c r="B138" s="42"/>
      <c r="C138" s="124"/>
      <c r="D138" s="42"/>
      <c r="E138" s="124"/>
      <c r="F138" s="42"/>
      <c r="G138" s="124"/>
      <c r="H138" s="125"/>
      <c r="I138" s="4"/>
      <c r="J138" s="42"/>
      <c r="K138" s="124"/>
      <c r="L138" s="126"/>
      <c r="M138" s="4"/>
    </row>
    <row r="139" spans="1:13" ht="12.75">
      <c r="A139" s="12"/>
      <c r="B139" s="42"/>
      <c r="C139" s="124"/>
      <c r="D139" s="42"/>
      <c r="E139" s="124"/>
      <c r="F139" s="42"/>
      <c r="G139" s="124"/>
      <c r="H139" s="125"/>
      <c r="I139" s="4"/>
      <c r="J139" s="42"/>
      <c r="K139" s="124"/>
      <c r="L139" s="126"/>
      <c r="M139" s="4"/>
    </row>
    <row r="140" spans="1:15" ht="12.75">
      <c r="A140" s="12"/>
      <c r="B140" s="1"/>
      <c r="C140" s="12"/>
      <c r="D140" s="1"/>
      <c r="E140" s="12"/>
      <c r="F140" s="1"/>
      <c r="G140" s="12"/>
      <c r="H140" s="4"/>
      <c r="L140" s="4"/>
      <c r="M140" s="4"/>
      <c r="N140" s="3"/>
      <c r="O140" s="3"/>
    </row>
    <row r="141" spans="1:13" s="8" customFormat="1" ht="17.25">
      <c r="A141" s="121" t="s">
        <v>295</v>
      </c>
      <c r="H141" s="122"/>
      <c r="L141" s="122"/>
      <c r="M141" s="4"/>
    </row>
    <row r="142" spans="9:13" ht="12.75">
      <c r="I142" s="4"/>
      <c r="M142" s="4"/>
    </row>
    <row r="143" spans="1:13" ht="13.5" thickBot="1">
      <c r="A143" s="21" t="str">
        <f>Saldobalance!B253</f>
        <v>EGENKAPITAL</v>
      </c>
      <c r="B143" s="41"/>
      <c r="C143" s="118">
        <v>6048295.1899999995</v>
      </c>
      <c r="D143" s="4"/>
      <c r="E143" s="4"/>
      <c r="F143" s="4"/>
      <c r="G143" s="22">
        <f>-Saldobalance!D257</f>
        <v>6035696.9</v>
      </c>
      <c r="I143" s="4">
        <v>17</v>
      </c>
      <c r="M143" s="4"/>
    </row>
    <row r="144" spans="4:13" ht="12.75">
      <c r="D144" s="4"/>
      <c r="E144" s="4"/>
      <c r="F144" s="4"/>
      <c r="M144" s="4"/>
    </row>
    <row r="145" spans="1:13" ht="13.5" thickBot="1">
      <c r="A145" s="21" t="str">
        <f>Saldobalance!B260</f>
        <v>Opsparing</v>
      </c>
      <c r="B145" s="41"/>
      <c r="C145" s="94">
        <v>127784</v>
      </c>
      <c r="D145" s="4"/>
      <c r="E145" s="4"/>
      <c r="F145" s="4"/>
      <c r="G145" s="94">
        <f>-Saldobalance!D260</f>
        <v>34784</v>
      </c>
      <c r="I145" s="4">
        <v>18</v>
      </c>
      <c r="M145" s="4"/>
    </row>
    <row r="146" spans="4:13" ht="12.75">
      <c r="D146" s="4"/>
      <c r="E146" s="4"/>
      <c r="F146" s="4"/>
      <c r="M146" s="4"/>
    </row>
    <row r="147" spans="1:13" ht="13.5" thickBot="1">
      <c r="A147" s="21" t="str">
        <f>Saldobalance!B207</f>
        <v>Bakken Bank</v>
      </c>
      <c r="B147" s="41"/>
      <c r="C147" s="94">
        <v>-405385.39</v>
      </c>
      <c r="D147" s="4"/>
      <c r="E147" s="4"/>
      <c r="F147" s="4"/>
      <c r="G147" s="94">
        <f>-Saldobalance!D213</f>
        <v>-330294.43000000005</v>
      </c>
      <c r="I147" s="4">
        <v>19</v>
      </c>
      <c r="M147" s="4"/>
    </row>
    <row r="148" spans="4:13" ht="12.75">
      <c r="D148" s="4"/>
      <c r="E148" s="4"/>
      <c r="F148" s="4"/>
      <c r="M148" s="4"/>
    </row>
    <row r="149" spans="1:13" ht="13.5" thickBot="1">
      <c r="A149" s="21" t="s">
        <v>254</v>
      </c>
      <c r="B149" s="41"/>
      <c r="C149" s="94">
        <v>-48554.7300000001</v>
      </c>
      <c r="D149" s="4"/>
      <c r="E149" s="4"/>
      <c r="F149" s="4"/>
      <c r="G149" s="94">
        <f>Saldobalance!D246+Saldobalance!D266+Saldobalance!D280+Saldobalance!D275</f>
        <v>13704.70000000007</v>
      </c>
      <c r="I149" s="4">
        <v>20</v>
      </c>
      <c r="M149" s="4"/>
    </row>
    <row r="150" spans="4:13" ht="12.75">
      <c r="D150" s="4"/>
      <c r="E150" s="4"/>
      <c r="F150" s="4"/>
      <c r="I150" s="4"/>
      <c r="M150" s="4"/>
    </row>
    <row r="151" spans="1:13" ht="13.5" thickBot="1">
      <c r="A151" s="21" t="s">
        <v>253</v>
      </c>
      <c r="B151" s="41"/>
      <c r="C151" s="22">
        <v>0</v>
      </c>
      <c r="D151" s="4"/>
      <c r="E151" s="4"/>
      <c r="F151" s="4"/>
      <c r="G151" s="22">
        <f>IF(Saldobalance!D275+Saldobalance!D246&lt;0,-(Saldobalance!D275+Saldobalance!D246),0)</f>
        <v>0</v>
      </c>
      <c r="I151" s="4"/>
      <c r="M151" s="4"/>
    </row>
    <row r="152" spans="4:13" ht="12.75">
      <c r="D152" s="4"/>
      <c r="E152" s="4"/>
      <c r="F152" s="4"/>
      <c r="I152" s="4"/>
      <c r="M152" s="4"/>
    </row>
    <row r="153" spans="1:13" ht="13.5" thickBot="1">
      <c r="A153" s="21" t="str">
        <f>Saldobalance!B226</f>
        <v>Tilgodehavender hos Bofæller</v>
      </c>
      <c r="B153" s="41"/>
      <c r="C153" s="22">
        <v>52636.39</v>
      </c>
      <c r="D153" s="4"/>
      <c r="E153" s="4"/>
      <c r="F153" s="4"/>
      <c r="G153" s="22">
        <f>Saldobalance!D226</f>
        <v>52869.63</v>
      </c>
      <c r="I153" s="4">
        <v>21</v>
      </c>
      <c r="M153" s="4"/>
    </row>
    <row r="154" spans="1:13" ht="12.75">
      <c r="A154" s="12"/>
      <c r="B154" s="42"/>
      <c r="C154" s="42"/>
      <c r="D154" s="42"/>
      <c r="E154" s="42"/>
      <c r="F154" s="42"/>
      <c r="G154" s="42"/>
      <c r="H154" s="42"/>
      <c r="I154" s="4"/>
      <c r="M154" s="4"/>
    </row>
    <row r="155" spans="9:14" ht="17.25">
      <c r="I155" s="4"/>
      <c r="M155" s="4"/>
      <c r="N155" s="65"/>
    </row>
    <row r="156" spans="1:15" ht="12.75">
      <c r="A156" s="12"/>
      <c r="B156" s="1"/>
      <c r="C156" s="12"/>
      <c r="D156" s="1"/>
      <c r="E156" s="12"/>
      <c r="F156" s="1"/>
      <c r="G156" s="12"/>
      <c r="H156" s="4"/>
      <c r="L156" s="4"/>
      <c r="M156" s="4"/>
      <c r="N156" s="3"/>
      <c r="O156" s="3"/>
    </row>
    <row r="157" spans="1:13" s="8" customFormat="1" ht="17.25">
      <c r="A157" s="121" t="s">
        <v>294</v>
      </c>
      <c r="H157" s="122"/>
      <c r="L157" s="122"/>
      <c r="M157" s="4"/>
    </row>
    <row r="158" spans="9:15" ht="18" thickBot="1">
      <c r="I158" s="4"/>
      <c r="M158" s="4"/>
      <c r="O158" s="65"/>
    </row>
    <row r="159" spans="1:13" ht="13.5" thickBot="1">
      <c r="A159" s="23" t="str">
        <f>Saldobalance!B148</f>
        <v>Vaskeriet</v>
      </c>
      <c r="B159" s="27" t="str">
        <f>$B$5</f>
        <v>Regnskab </v>
      </c>
      <c r="C159" s="28">
        <f>$C$5</f>
        <v>2012</v>
      </c>
      <c r="D159" s="27"/>
      <c r="E159" s="28"/>
      <c r="F159" s="27" t="str">
        <f>$F$5</f>
        <v>Regnskab </v>
      </c>
      <c r="G159" s="28">
        <f>$G$5</f>
        <v>2013</v>
      </c>
      <c r="H159" s="4"/>
      <c r="L159" s="4"/>
      <c r="M159" s="4"/>
    </row>
    <row r="160" spans="1:13" ht="12.75">
      <c r="A160" s="18"/>
      <c r="B160" s="47" t="s">
        <v>187</v>
      </c>
      <c r="C160" s="48" t="s">
        <v>27</v>
      </c>
      <c r="D160" s="47"/>
      <c r="E160" s="48"/>
      <c r="F160" s="47" t="s">
        <v>187</v>
      </c>
      <c r="G160" s="48" t="s">
        <v>27</v>
      </c>
      <c r="H160" s="4"/>
      <c r="L160" s="4"/>
      <c r="M160" s="4"/>
    </row>
    <row r="161" spans="1:13" ht="12.75">
      <c r="A161" s="29" t="s">
        <v>3</v>
      </c>
      <c r="B161" s="32"/>
      <c r="C161" s="33"/>
      <c r="D161" s="32"/>
      <c r="E161" s="33"/>
      <c r="F161" s="32"/>
      <c r="G161" s="33"/>
      <c r="H161" s="4"/>
      <c r="L161" s="4"/>
      <c r="M161" s="4"/>
    </row>
    <row r="162" spans="1:13" ht="12.75">
      <c r="A162" s="10" t="str">
        <f>Saldobalance!B149</f>
        <v>Vask opkrævet</v>
      </c>
      <c r="B162" s="55"/>
      <c r="C162" s="11">
        <v>-37784.84</v>
      </c>
      <c r="D162" s="55"/>
      <c r="E162" s="11"/>
      <c r="F162" s="55"/>
      <c r="G162" s="11">
        <f>Saldobalance!D149</f>
        <v>-6600</v>
      </c>
      <c r="H162" s="4"/>
      <c r="L162" s="4"/>
      <c r="M162" s="4"/>
    </row>
    <row r="163" spans="1:13" ht="12.75">
      <c r="A163" s="10" t="str">
        <f>Saldobalance!B150</f>
        <v>Vask Fælleshuset</v>
      </c>
      <c r="B163" s="55"/>
      <c r="C163" s="11">
        <v>-2482.79</v>
      </c>
      <c r="D163" s="55"/>
      <c r="E163" s="11"/>
      <c r="F163" s="55"/>
      <c r="G163" s="11">
        <f>Saldobalance!D150</f>
        <v>-400</v>
      </c>
      <c r="H163" s="4"/>
      <c r="L163" s="4"/>
      <c r="M163" s="4"/>
    </row>
    <row r="164" spans="1:13" ht="12.75">
      <c r="A164" s="10" t="str">
        <f>Saldobalance!B151</f>
        <v>Vaskemidler</v>
      </c>
      <c r="B164" s="55">
        <v>21354.08</v>
      </c>
      <c r="C164" s="11"/>
      <c r="D164" s="55"/>
      <c r="E164" s="11"/>
      <c r="F164" s="55">
        <f>Saldobalance!D151</f>
        <v>3489.23</v>
      </c>
      <c r="G164" s="11"/>
      <c r="H164" s="4"/>
      <c r="L164" s="4"/>
      <c r="M164" s="4"/>
    </row>
    <row r="165" spans="1:13" ht="12.75">
      <c r="A165" s="10" t="str">
        <f>Saldobalance!B152</f>
        <v>EL</v>
      </c>
      <c r="B165" s="55">
        <v>1981</v>
      </c>
      <c r="C165" s="11"/>
      <c r="D165" s="55"/>
      <c r="E165" s="11"/>
      <c r="F165" s="55">
        <f>Saldobalance!D152</f>
        <v>0</v>
      </c>
      <c r="G165" s="11"/>
      <c r="H165" s="4"/>
      <c r="L165" s="4"/>
      <c r="M165" s="4"/>
    </row>
    <row r="166" spans="1:13" ht="12.75">
      <c r="A166" s="10" t="str">
        <f>Saldobalance!B153</f>
        <v>Gas</v>
      </c>
      <c r="B166" s="55">
        <v>6718</v>
      </c>
      <c r="C166" s="11"/>
      <c r="D166" s="55"/>
      <c r="E166" s="11"/>
      <c r="F166" s="55">
        <f>Saldobalance!D153</f>
        <v>0</v>
      </c>
      <c r="G166" s="11"/>
      <c r="H166" s="4"/>
      <c r="L166" s="4"/>
      <c r="M166" s="4"/>
    </row>
    <row r="167" spans="1:13" ht="12.75">
      <c r="A167" s="10" t="str">
        <f>Saldobalance!B154</f>
        <v>Vand</v>
      </c>
      <c r="B167" s="55">
        <v>10214</v>
      </c>
      <c r="C167" s="11"/>
      <c r="D167" s="55"/>
      <c r="E167" s="11"/>
      <c r="F167" s="55">
        <f>Saldobalance!D154</f>
        <v>482</v>
      </c>
      <c r="G167" s="11"/>
      <c r="H167" s="4"/>
      <c r="L167" s="4"/>
      <c r="M167" s="4"/>
    </row>
    <row r="168" spans="1:13" ht="12.75">
      <c r="A168" s="10" t="str">
        <f>Saldobalance!B155</f>
        <v>Salttabletter</v>
      </c>
      <c r="B168" s="55">
        <v>0</v>
      </c>
      <c r="C168" s="11"/>
      <c r="D168" s="55"/>
      <c r="E168" s="11"/>
      <c r="F168" s="55">
        <f>Saldobalance!D155</f>
        <v>480.38</v>
      </c>
      <c r="G168" s="11"/>
      <c r="H168" s="4"/>
      <c r="L168" s="4"/>
      <c r="M168" s="4"/>
    </row>
    <row r="169" spans="1:13" ht="13.5" thickBot="1">
      <c r="A169" s="21" t="str">
        <f>Saldobalance!B156</f>
        <v>Vaskeriet i alt</v>
      </c>
      <c r="B169" s="37"/>
      <c r="C169" s="7">
        <v>-0.5499999999956344</v>
      </c>
      <c r="D169" s="37"/>
      <c r="E169" s="7"/>
      <c r="F169" s="37"/>
      <c r="G169" s="7">
        <f>Saldobalance!D156</f>
        <v>-2548.39</v>
      </c>
      <c r="H169" s="4"/>
      <c r="L169" s="4"/>
      <c r="M169" s="4"/>
    </row>
    <row r="170" ht="12.75">
      <c r="M170" s="4"/>
    </row>
    <row r="171" spans="8:13" ht="13.5" thickBot="1">
      <c r="H171" s="4"/>
      <c r="L171" s="4"/>
      <c r="M171" s="4"/>
    </row>
    <row r="172" spans="1:13" ht="13.5" thickBot="1">
      <c r="A172" s="23" t="str">
        <f>Saldobalance!B172</f>
        <v>Renovation</v>
      </c>
      <c r="B172" s="27" t="str">
        <f>$B$5</f>
        <v>Regnskab </v>
      </c>
      <c r="C172" s="28">
        <f>$C$5</f>
        <v>2012</v>
      </c>
      <c r="D172" s="27"/>
      <c r="E172" s="28"/>
      <c r="F172" s="27" t="str">
        <f>$F$5</f>
        <v>Regnskab </v>
      </c>
      <c r="G172" s="28">
        <f>$G$5</f>
        <v>2013</v>
      </c>
      <c r="H172" s="4"/>
      <c r="L172" s="4"/>
      <c r="M172" s="4"/>
    </row>
    <row r="173" spans="1:13" ht="12.75">
      <c r="A173" s="18"/>
      <c r="B173" s="47" t="s">
        <v>187</v>
      </c>
      <c r="C173" s="48" t="s">
        <v>27</v>
      </c>
      <c r="D173" s="47"/>
      <c r="E173" s="48"/>
      <c r="F173" s="47" t="s">
        <v>187</v>
      </c>
      <c r="G173" s="48" t="s">
        <v>27</v>
      </c>
      <c r="H173" s="4"/>
      <c r="L173" s="4"/>
      <c r="M173" s="4"/>
    </row>
    <row r="174" spans="1:13" ht="12.75">
      <c r="A174" s="29" t="s">
        <v>3</v>
      </c>
      <c r="B174" s="32"/>
      <c r="C174" s="33"/>
      <c r="D174" s="32"/>
      <c r="E174" s="33"/>
      <c r="F174" s="32"/>
      <c r="G174" s="33"/>
      <c r="H174" s="4"/>
      <c r="L174" s="4"/>
      <c r="M174" s="4"/>
    </row>
    <row r="175" spans="1:13" ht="12.75">
      <c r="A175" s="10" t="str">
        <f>Saldobalance!B173</f>
        <v>Renovation opkrævet</v>
      </c>
      <c r="B175" s="55"/>
      <c r="C175" s="11">
        <v>-69550</v>
      </c>
      <c r="D175" s="55"/>
      <c r="E175" s="11"/>
      <c r="F175" s="55"/>
      <c r="G175" s="11">
        <f>Saldobalance!D173</f>
        <v>-19175</v>
      </c>
      <c r="H175" s="4"/>
      <c r="L175" s="4"/>
      <c r="M175" s="4"/>
    </row>
    <row r="176" spans="1:13" ht="12.75">
      <c r="A176" s="10" t="str">
        <f>Saldobalance!B174</f>
        <v>Renovation Fælleshuset</v>
      </c>
      <c r="B176" s="55"/>
      <c r="C176" s="11">
        <v>-9876</v>
      </c>
      <c r="D176" s="55"/>
      <c r="E176" s="11"/>
      <c r="F176" s="55"/>
      <c r="G176" s="11">
        <f>Saldobalance!D174</f>
        <v>-2634</v>
      </c>
      <c r="H176" s="4"/>
      <c r="L176" s="4"/>
      <c r="M176" s="4"/>
    </row>
    <row r="177" spans="1:13" ht="12.75">
      <c r="A177" s="10" t="str">
        <f>Saldobalance!B175</f>
        <v>Renovation Fredensborg Forsyning</v>
      </c>
      <c r="B177" s="55">
        <v>79452.38</v>
      </c>
      <c r="C177" s="11"/>
      <c r="D177" s="55"/>
      <c r="E177" s="11"/>
      <c r="F177" s="55">
        <f>Saldobalance!D175</f>
        <v>32656.15</v>
      </c>
      <c r="G177" s="11"/>
      <c r="H177" s="4"/>
      <c r="L177" s="4"/>
      <c r="M177" s="4"/>
    </row>
    <row r="178" spans="1:13" ht="13.5" thickBot="1">
      <c r="A178" s="21" t="str">
        <f>Saldobalance!B176</f>
        <v>Renovation i alt</v>
      </c>
      <c r="B178" s="41"/>
      <c r="C178" s="22">
        <v>26.380000000004657</v>
      </c>
      <c r="D178" s="41"/>
      <c r="E178" s="22"/>
      <c r="F178" s="41"/>
      <c r="G178" s="22">
        <f>Saldobalance!D176</f>
        <v>10847.150000000001</v>
      </c>
      <c r="H178" s="4"/>
      <c r="L178" s="4"/>
      <c r="M178" s="4"/>
    </row>
    <row r="179" spans="8:13" ht="12.75">
      <c r="H179" s="4"/>
      <c r="L179" s="4"/>
      <c r="M179" s="4"/>
    </row>
    <row r="180" spans="8:13" ht="13.5" thickBot="1">
      <c r="H180" s="4"/>
      <c r="L180" s="4"/>
      <c r="M180" s="4"/>
    </row>
    <row r="181" spans="1:13" ht="13.5" thickBot="1">
      <c r="A181" s="23" t="str">
        <f>Saldobalance!B178</f>
        <v>TV</v>
      </c>
      <c r="B181" s="27" t="str">
        <f>$B$5</f>
        <v>Regnskab </v>
      </c>
      <c r="C181" s="28">
        <f>$C$5</f>
        <v>2012</v>
      </c>
      <c r="D181" s="27"/>
      <c r="E181" s="28"/>
      <c r="F181" s="27" t="str">
        <f>$F$5</f>
        <v>Regnskab </v>
      </c>
      <c r="G181" s="28">
        <f>$G$5</f>
        <v>2013</v>
      </c>
      <c r="H181" s="4"/>
      <c r="L181" s="4"/>
      <c r="M181" s="4"/>
    </row>
    <row r="182" spans="1:13" ht="12.75">
      <c r="A182" s="18"/>
      <c r="B182" s="47" t="s">
        <v>187</v>
      </c>
      <c r="C182" s="48" t="s">
        <v>27</v>
      </c>
      <c r="D182" s="47"/>
      <c r="E182" s="48"/>
      <c r="F182" s="47" t="s">
        <v>187</v>
      </c>
      <c r="G182" s="48" t="s">
        <v>27</v>
      </c>
      <c r="H182" s="4"/>
      <c r="L182" s="4"/>
      <c r="M182" s="4"/>
    </row>
    <row r="183" spans="1:13" ht="12.75">
      <c r="A183" s="29" t="s">
        <v>3</v>
      </c>
      <c r="B183" s="32"/>
      <c r="C183" s="33"/>
      <c r="D183" s="32"/>
      <c r="E183" s="33"/>
      <c r="F183" s="32"/>
      <c r="G183" s="33"/>
      <c r="H183" s="4"/>
      <c r="L183" s="4"/>
      <c r="M183" s="4"/>
    </row>
    <row r="184" spans="1:13" ht="12.75">
      <c r="A184" s="10" t="str">
        <f>Saldobalance!B179</f>
        <v>TV opkrævet</v>
      </c>
      <c r="B184" s="55"/>
      <c r="C184" s="11">
        <v>-73051</v>
      </c>
      <c r="D184" s="55"/>
      <c r="E184" s="11"/>
      <c r="F184" s="55"/>
      <c r="G184" s="11">
        <f>Saldobalance!D179</f>
        <v>-24754</v>
      </c>
      <c r="H184" s="4"/>
      <c r="L184" s="4"/>
      <c r="M184" s="4"/>
    </row>
    <row r="185" spans="1:13" ht="12.75">
      <c r="A185" s="10" t="str">
        <f>Saldobalance!B180</f>
        <v>TV Fælleshuset</v>
      </c>
      <c r="B185" s="55"/>
      <c r="C185" s="11">
        <v>-3980</v>
      </c>
      <c r="D185" s="55"/>
      <c r="E185" s="11"/>
      <c r="F185" s="55"/>
      <c r="G185" s="11">
        <f>Saldobalance!D180</f>
        <v>-1318</v>
      </c>
      <c r="H185" s="4"/>
      <c r="I185" s="3"/>
      <c r="J185" s="3"/>
      <c r="L185" s="4"/>
      <c r="M185" s="4"/>
    </row>
    <row r="186" spans="1:15" s="3" customFormat="1" ht="12.75">
      <c r="A186" s="10" t="str">
        <f>Saldobalance!B181</f>
        <v>YouSee og andre</v>
      </c>
      <c r="B186" s="54">
        <v>77035.39</v>
      </c>
      <c r="C186" s="11"/>
      <c r="D186" s="54"/>
      <c r="E186" s="11"/>
      <c r="F186" s="54">
        <f>Saldobalance!D181</f>
        <v>34999.66</v>
      </c>
      <c r="G186" s="11"/>
      <c r="H186" s="4"/>
      <c r="I186" s="4"/>
      <c r="J186" s="20"/>
      <c r="L186" s="4"/>
      <c r="M186" s="4"/>
      <c r="N186" s="20"/>
      <c r="O186" s="20"/>
    </row>
    <row r="187" spans="1:15" ht="13.5" thickBot="1">
      <c r="A187" s="21" t="str">
        <f>Saldobalance!B182</f>
        <v>TV i alt</v>
      </c>
      <c r="B187" s="37"/>
      <c r="C187" s="7">
        <v>4.389999999999418</v>
      </c>
      <c r="D187" s="37"/>
      <c r="E187" s="7"/>
      <c r="F187" s="37"/>
      <c r="G187" s="7">
        <f>Saldobalance!D182</f>
        <v>8927.660000000003</v>
      </c>
      <c r="H187" s="4"/>
      <c r="I187" s="4"/>
      <c r="L187" s="4"/>
      <c r="M187" s="4"/>
      <c r="N187" s="3"/>
      <c r="O187" s="3"/>
    </row>
    <row r="188" spans="8:13" ht="12.75">
      <c r="H188" s="4"/>
      <c r="L188" s="4"/>
      <c r="M188" s="4"/>
    </row>
    <row r="189" spans="8:13" ht="13.5" thickBot="1">
      <c r="H189" s="4"/>
      <c r="L189" s="4"/>
      <c r="M189" s="4"/>
    </row>
    <row r="190" spans="1:13" ht="13.5" thickBot="1">
      <c r="A190" s="23" t="str">
        <f>Saldobalance!B196</f>
        <v>Deltagerbetalte arrangementer</v>
      </c>
      <c r="B190" s="27" t="str">
        <f>$B$5</f>
        <v>Regnskab </v>
      </c>
      <c r="C190" s="28">
        <f>$C$5</f>
        <v>2012</v>
      </c>
      <c r="D190" s="27"/>
      <c r="E190" s="28"/>
      <c r="F190" s="27" t="str">
        <f>$F$5</f>
        <v>Regnskab </v>
      </c>
      <c r="G190" s="28">
        <f>$G$5</f>
        <v>2013</v>
      </c>
      <c r="H190" s="4"/>
      <c r="L190" s="4"/>
      <c r="M190" s="4"/>
    </row>
    <row r="191" spans="1:13" ht="12.75">
      <c r="A191" s="18"/>
      <c r="B191" s="47" t="s">
        <v>187</v>
      </c>
      <c r="C191" s="48" t="s">
        <v>27</v>
      </c>
      <c r="D191" s="47"/>
      <c r="E191" s="48"/>
      <c r="F191" s="47" t="s">
        <v>187</v>
      </c>
      <c r="G191" s="48" t="s">
        <v>27</v>
      </c>
      <c r="H191" s="4"/>
      <c r="L191" s="4"/>
      <c r="M191" s="4"/>
    </row>
    <row r="192" spans="1:13" ht="12.75">
      <c r="A192" s="29" t="s">
        <v>3</v>
      </c>
      <c r="B192" s="32"/>
      <c r="C192" s="33"/>
      <c r="D192" s="32"/>
      <c r="E192" s="33"/>
      <c r="F192" s="32"/>
      <c r="G192" s="33"/>
      <c r="H192" s="4"/>
      <c r="L192" s="4"/>
      <c r="M192" s="4"/>
    </row>
    <row r="193" spans="1:13" ht="12.75">
      <c r="A193" s="10" t="str">
        <f>Saldobalance!B197</f>
        <v>Kultur opkrævet</v>
      </c>
      <c r="B193" s="55"/>
      <c r="C193" s="11">
        <v>-14690.22</v>
      </c>
      <c r="D193" s="55"/>
      <c r="E193" s="11"/>
      <c r="F193" s="55"/>
      <c r="G193" s="11">
        <f>Saldobalance!D197</f>
        <v>0</v>
      </c>
      <c r="H193" s="4"/>
      <c r="I193" s="3"/>
      <c r="J193" s="3"/>
      <c r="L193" s="4"/>
      <c r="M193" s="4"/>
    </row>
    <row r="194" spans="1:15" s="3" customFormat="1" ht="12.75">
      <c r="A194" s="10" t="str">
        <f>Saldobalance!B198</f>
        <v>Kultur udlæg</v>
      </c>
      <c r="B194" s="54">
        <v>14691.37</v>
      </c>
      <c r="C194" s="11"/>
      <c r="D194" s="54"/>
      <c r="E194" s="11"/>
      <c r="F194" s="54">
        <f>Saldobalance!D198</f>
        <v>0</v>
      </c>
      <c r="G194" s="11"/>
      <c r="H194" s="4"/>
      <c r="I194" s="20"/>
      <c r="J194" s="20"/>
      <c r="L194" s="4"/>
      <c r="M194" s="4"/>
      <c r="N194" s="20"/>
      <c r="O194" s="20"/>
    </row>
    <row r="195" spans="1:15" ht="13.5" thickBot="1">
      <c r="A195" s="21" t="str">
        <f>Saldobalance!B199</f>
        <v>Deltagerbetalte arrangementer i alt</v>
      </c>
      <c r="B195" s="37"/>
      <c r="C195" s="7">
        <v>-14.25</v>
      </c>
      <c r="D195" s="37"/>
      <c r="E195" s="7"/>
      <c r="F195" s="37"/>
      <c r="G195" s="7">
        <f>Saldobalance!D199</f>
        <v>0</v>
      </c>
      <c r="H195" s="4"/>
      <c r="L195" s="4"/>
      <c r="M195" s="4"/>
      <c r="N195" s="3"/>
      <c r="O195" s="3"/>
    </row>
    <row r="196" spans="8:13" ht="12.75">
      <c r="H196" s="4"/>
      <c r="L196" s="4"/>
      <c r="M196" s="4"/>
    </row>
    <row r="197" spans="8:13" ht="13.5" thickBot="1">
      <c r="H197" s="4"/>
      <c r="L197" s="4"/>
      <c r="M197" s="4"/>
    </row>
    <row r="198" spans="1:13" ht="13.5" thickBot="1">
      <c r="A198" s="23" t="str">
        <f>Saldobalance!B184</f>
        <v>Fadøl</v>
      </c>
      <c r="B198" s="27" t="str">
        <f>$B$5</f>
        <v>Regnskab </v>
      </c>
      <c r="C198" s="28">
        <f>$C$5</f>
        <v>2012</v>
      </c>
      <c r="D198" s="27"/>
      <c r="E198" s="28"/>
      <c r="F198" s="27" t="str">
        <f>$F$5</f>
        <v>Regnskab </v>
      </c>
      <c r="G198" s="28">
        <f>$G$5</f>
        <v>2013</v>
      </c>
      <c r="H198" s="4"/>
      <c r="L198" s="4"/>
      <c r="M198" s="4"/>
    </row>
    <row r="199" spans="1:13" ht="12.75">
      <c r="A199" s="18"/>
      <c r="B199" s="47" t="s">
        <v>187</v>
      </c>
      <c r="C199" s="48" t="s">
        <v>27</v>
      </c>
      <c r="D199" s="47"/>
      <c r="E199" s="48"/>
      <c r="F199" s="47" t="s">
        <v>187</v>
      </c>
      <c r="G199" s="48" t="s">
        <v>27</v>
      </c>
      <c r="H199" s="4"/>
      <c r="L199" s="4"/>
      <c r="M199" s="4"/>
    </row>
    <row r="200" spans="1:13" ht="12.75">
      <c r="A200" s="29" t="s">
        <v>3</v>
      </c>
      <c r="B200" s="32"/>
      <c r="C200" s="33"/>
      <c r="D200" s="32"/>
      <c r="E200" s="33"/>
      <c r="F200" s="32"/>
      <c r="G200" s="33"/>
      <c r="H200" s="4"/>
      <c r="L200" s="4"/>
      <c r="M200" s="4"/>
    </row>
    <row r="201" spans="1:13" ht="12.75">
      <c r="A201" s="10" t="str">
        <f>Saldobalance!B185</f>
        <v>Øl opkrævet</v>
      </c>
      <c r="B201" s="55"/>
      <c r="C201" s="11">
        <v>-19627.5</v>
      </c>
      <c r="D201" s="55"/>
      <c r="E201" s="11"/>
      <c r="F201" s="55"/>
      <c r="G201" s="11">
        <f>Saldobalance!D185</f>
        <v>-2300</v>
      </c>
      <c r="H201" s="4"/>
      <c r="L201" s="4"/>
      <c r="M201" s="4"/>
    </row>
    <row r="202" spans="1:13" ht="12.75">
      <c r="A202" s="10" t="str">
        <f>Saldobalance!B186</f>
        <v>Øl Fælleshuset</v>
      </c>
      <c r="B202" s="55"/>
      <c r="C202" s="11">
        <v>-2930</v>
      </c>
      <c r="D202" s="55"/>
      <c r="E202" s="11"/>
      <c r="F202" s="55"/>
      <c r="G202" s="11">
        <f>Saldobalance!D186</f>
        <v>-1100</v>
      </c>
      <c r="H202" s="4"/>
      <c r="I202" s="3"/>
      <c r="J202" s="3"/>
      <c r="L202" s="4"/>
      <c r="M202" s="4"/>
    </row>
    <row r="203" spans="1:13" ht="12.75">
      <c r="A203" s="10" t="str">
        <f>Saldobalance!B187</f>
        <v>Regulering af lagerbeholdning</v>
      </c>
      <c r="B203" s="55">
        <v>-1450</v>
      </c>
      <c r="C203" s="11"/>
      <c r="D203" s="55"/>
      <c r="E203" s="11"/>
      <c r="F203" s="55">
        <f>Saldobalance!D187</f>
        <v>0</v>
      </c>
      <c r="G203" s="11"/>
      <c r="H203" s="4"/>
      <c r="I203" s="3"/>
      <c r="J203" s="3"/>
      <c r="L203" s="4"/>
      <c r="M203" s="4"/>
    </row>
    <row r="204" spans="1:15" s="3" customFormat="1" ht="12.75">
      <c r="A204" s="10" t="str">
        <f>Saldobalance!B188</f>
        <v>Tuborg og andre</v>
      </c>
      <c r="B204" s="55">
        <v>22316.4</v>
      </c>
      <c r="C204" s="11"/>
      <c r="D204" s="54"/>
      <c r="E204" s="11"/>
      <c r="F204" s="54">
        <f>Saldobalance!D188</f>
        <v>5761</v>
      </c>
      <c r="G204" s="11"/>
      <c r="H204" s="4"/>
      <c r="I204" s="20"/>
      <c r="J204" s="20"/>
      <c r="L204" s="4"/>
      <c r="M204" s="4"/>
      <c r="N204" s="20"/>
      <c r="O204" s="20"/>
    </row>
    <row r="205" spans="1:15" ht="13.5" thickBot="1">
      <c r="A205" s="21" t="str">
        <f>Saldobalance!B189</f>
        <v>Fadøl i alt</v>
      </c>
      <c r="B205" s="37"/>
      <c r="C205" s="7">
        <v>-1691.0999999999985</v>
      </c>
      <c r="D205" s="37"/>
      <c r="E205" s="7"/>
      <c r="F205" s="37"/>
      <c r="G205" s="7">
        <f>Saldobalance!D189</f>
        <v>2361</v>
      </c>
      <c r="H205" s="4"/>
      <c r="L205" s="4"/>
      <c r="M205" s="4"/>
      <c r="N205" s="3"/>
      <c r="O205" s="3"/>
    </row>
    <row r="206" spans="1:15" ht="12.75">
      <c r="A206" s="12"/>
      <c r="B206" s="1"/>
      <c r="C206" s="12"/>
      <c r="D206" s="1"/>
      <c r="E206" s="12"/>
      <c r="F206" s="1"/>
      <c r="G206" s="12"/>
      <c r="H206" s="4"/>
      <c r="L206" s="4"/>
      <c r="M206" s="4"/>
      <c r="N206" s="3"/>
      <c r="O206" s="3"/>
    </row>
    <row r="207" spans="1:15" ht="12.75">
      <c r="A207" s="12"/>
      <c r="B207" s="1"/>
      <c r="C207" s="12"/>
      <c r="D207" s="1"/>
      <c r="E207" s="12"/>
      <c r="F207" s="1"/>
      <c r="G207" s="12"/>
      <c r="H207" s="4"/>
      <c r="L207" s="4"/>
      <c r="M207" s="4"/>
      <c r="N207" s="3"/>
      <c r="O207" s="3"/>
    </row>
    <row r="208" spans="1:13" s="8" customFormat="1" ht="17.25">
      <c r="A208" s="121" t="s">
        <v>293</v>
      </c>
      <c r="H208" s="122"/>
      <c r="L208" s="122"/>
      <c r="M208" s="4"/>
    </row>
    <row r="209" spans="8:13" ht="13.5" thickBot="1">
      <c r="H209" s="4"/>
      <c r="L209" s="4"/>
      <c r="M209" s="4"/>
    </row>
    <row r="210" spans="1:13" ht="13.5" thickBot="1">
      <c r="A210" s="23" t="str">
        <f>Saldobalance!B158</f>
        <v>Vand</v>
      </c>
      <c r="B210" s="27" t="str">
        <f>$B$5</f>
        <v>Regnskab </v>
      </c>
      <c r="C210" s="28">
        <f>$C$5</f>
        <v>2012</v>
      </c>
      <c r="D210" s="27"/>
      <c r="E210" s="28"/>
      <c r="F210" s="27" t="str">
        <f>$F$5</f>
        <v>Regnskab </v>
      </c>
      <c r="G210" s="28">
        <f>$G$5</f>
        <v>2013</v>
      </c>
      <c r="H210" s="4"/>
      <c r="L210" s="4"/>
      <c r="M210" s="4"/>
    </row>
    <row r="211" spans="1:13" ht="12.75">
      <c r="A211" s="18"/>
      <c r="B211" s="47" t="s">
        <v>187</v>
      </c>
      <c r="C211" s="48" t="s">
        <v>27</v>
      </c>
      <c r="D211" s="47"/>
      <c r="E211" s="48"/>
      <c r="F211" s="47" t="s">
        <v>187</v>
      </c>
      <c r="G211" s="48" t="s">
        <v>27</v>
      </c>
      <c r="H211" s="4"/>
      <c r="L211" s="4"/>
      <c r="M211" s="4"/>
    </row>
    <row r="212" spans="1:13" ht="12.75">
      <c r="A212" s="29" t="s">
        <v>3</v>
      </c>
      <c r="B212" s="32"/>
      <c r="C212" s="33"/>
      <c r="D212" s="32"/>
      <c r="E212" s="33"/>
      <c r="F212" s="32"/>
      <c r="G212" s="33"/>
      <c r="H212" s="4"/>
      <c r="L212" s="4"/>
      <c r="M212" s="4"/>
    </row>
    <row r="213" spans="1:13" ht="12.75">
      <c r="A213" s="10" t="str">
        <f>Saldobalance!B159</f>
        <v>Vand opkrævet</v>
      </c>
      <c r="B213" s="55"/>
      <c r="C213" s="11">
        <v>-155865</v>
      </c>
      <c r="D213" s="55"/>
      <c r="E213" s="11"/>
      <c r="F213" s="55"/>
      <c r="G213" s="11">
        <f>Saldobalance!D159</f>
        <v>-47807</v>
      </c>
      <c r="H213" s="4"/>
      <c r="L213" s="4"/>
      <c r="M213" s="4"/>
    </row>
    <row r="214" spans="1:13" ht="12.75">
      <c r="A214" s="10" t="str">
        <f>Saldobalance!B160</f>
        <v>Vand Fælleshuset</v>
      </c>
      <c r="B214" s="55"/>
      <c r="C214" s="11">
        <v>-32306</v>
      </c>
      <c r="D214" s="55"/>
      <c r="E214" s="11"/>
      <c r="F214" s="55"/>
      <c r="G214" s="11">
        <f>Saldobalance!D160</f>
        <v>-6829</v>
      </c>
      <c r="H214" s="4"/>
      <c r="I214" s="3"/>
      <c r="J214" s="3"/>
      <c r="L214" s="4"/>
      <c r="M214" s="4"/>
    </row>
    <row r="215" spans="1:15" s="3" customFormat="1" ht="12.75">
      <c r="A215" s="10" t="str">
        <f>Saldobalance!B161</f>
        <v>Vand vaskeriet</v>
      </c>
      <c r="B215" s="54"/>
      <c r="C215" s="11">
        <v>-10214</v>
      </c>
      <c r="D215" s="54"/>
      <c r="E215" s="11"/>
      <c r="F215" s="55"/>
      <c r="G215" s="11">
        <f>Saldobalance!D161</f>
        <v>-482</v>
      </c>
      <c r="H215" s="4"/>
      <c r="I215" s="20"/>
      <c r="J215" s="20"/>
      <c r="L215" s="4"/>
      <c r="M215" s="4"/>
      <c r="N215" s="20"/>
      <c r="O215" s="20"/>
    </row>
    <row r="216" spans="1:15" ht="12.75">
      <c r="A216" s="10" t="str">
        <f>Saldobalance!B162</f>
        <v>Vand Fredensborg Forsyning</v>
      </c>
      <c r="B216" s="55">
        <v>180052.67</v>
      </c>
      <c r="C216" s="11"/>
      <c r="D216" s="55"/>
      <c r="E216" s="11"/>
      <c r="F216" s="55">
        <f>Saldobalance!D162</f>
        <v>85291.24</v>
      </c>
      <c r="G216" s="11"/>
      <c r="H216" s="4"/>
      <c r="L216" s="4"/>
      <c r="N216" s="3"/>
      <c r="O216" s="3"/>
    </row>
    <row r="217" spans="1:12" ht="13.5" thickBot="1">
      <c r="A217" s="21" t="str">
        <f>Saldobalance!B163</f>
        <v>Vand i alt</v>
      </c>
      <c r="B217" s="37"/>
      <c r="C217" s="7">
        <v>-18332.329999999987</v>
      </c>
      <c r="D217" s="37"/>
      <c r="E217" s="7"/>
      <c r="F217" s="37"/>
      <c r="G217" s="7">
        <f>Saldobalance!D163</f>
        <v>30173.240000000005</v>
      </c>
      <c r="H217" s="4"/>
      <c r="L217" s="4"/>
    </row>
    <row r="218" spans="8:12" ht="12.75">
      <c r="H218" s="4"/>
      <c r="L218" s="4"/>
    </row>
    <row r="219" spans="8:12" ht="13.5" thickBot="1">
      <c r="H219" s="4"/>
      <c r="L219" s="4"/>
    </row>
    <row r="220" spans="1:12" ht="13.5" thickBot="1">
      <c r="A220" s="23" t="str">
        <f>Saldobalance!B165</f>
        <v>Varme</v>
      </c>
      <c r="B220" s="27" t="str">
        <f>$B$5</f>
        <v>Regnskab </v>
      </c>
      <c r="C220" s="28">
        <f>$C$5</f>
        <v>2012</v>
      </c>
      <c r="D220" s="27"/>
      <c r="E220" s="28"/>
      <c r="F220" s="27" t="str">
        <f>$F$5</f>
        <v>Regnskab </v>
      </c>
      <c r="G220" s="28">
        <f>$G$5</f>
        <v>2013</v>
      </c>
      <c r="H220" s="4"/>
      <c r="L220" s="4"/>
    </row>
    <row r="221" spans="1:12" ht="12.75">
      <c r="A221" s="18"/>
      <c r="B221" s="47" t="s">
        <v>187</v>
      </c>
      <c r="C221" s="48" t="s">
        <v>27</v>
      </c>
      <c r="D221" s="47"/>
      <c r="E221" s="48"/>
      <c r="F221" s="47" t="s">
        <v>187</v>
      </c>
      <c r="G221" s="48" t="s">
        <v>27</v>
      </c>
      <c r="H221" s="4"/>
      <c r="L221" s="4"/>
    </row>
    <row r="222" spans="1:12" ht="12.75">
      <c r="A222" s="29" t="s">
        <v>3</v>
      </c>
      <c r="B222" s="32"/>
      <c r="C222" s="33"/>
      <c r="D222" s="32"/>
      <c r="E222" s="33"/>
      <c r="F222" s="32"/>
      <c r="G222" s="33"/>
      <c r="H222" s="4"/>
      <c r="L222" s="4"/>
    </row>
    <row r="223" spans="1:12" ht="12.75">
      <c r="A223" s="10" t="str">
        <f>Saldobalance!B166</f>
        <v>Varme opkrævet</v>
      </c>
      <c r="B223" s="55"/>
      <c r="C223" s="11">
        <v>-310822</v>
      </c>
      <c r="D223" s="55"/>
      <c r="E223" s="11"/>
      <c r="F223" s="55"/>
      <c r="G223" s="11">
        <f>Saldobalance!D166</f>
        <v>-108250</v>
      </c>
      <c r="H223" s="4"/>
      <c r="L223" s="4"/>
    </row>
    <row r="224" spans="1:13" ht="12.75">
      <c r="A224" s="10" t="str">
        <f>Saldobalance!B167</f>
        <v>Varme Fælleshuset</v>
      </c>
      <c r="B224" s="55"/>
      <c r="C224" s="11">
        <v>-54796</v>
      </c>
      <c r="D224" s="55"/>
      <c r="E224" s="11"/>
      <c r="F224" s="55"/>
      <c r="G224" s="11">
        <f>Saldobalance!D167</f>
        <v>-12756</v>
      </c>
      <c r="H224" s="4"/>
      <c r="I224" s="3"/>
      <c r="J224" s="3"/>
      <c r="L224" s="4"/>
      <c r="M224" s="3"/>
    </row>
    <row r="225" spans="1:15" s="3" customFormat="1" ht="12.75">
      <c r="A225" s="10" t="str">
        <f>Saldobalance!B168</f>
        <v>Gas vaskeriet</v>
      </c>
      <c r="B225" s="54"/>
      <c r="C225" s="11">
        <v>-6718</v>
      </c>
      <c r="D225" s="54"/>
      <c r="E225" s="11"/>
      <c r="F225" s="54"/>
      <c r="G225" s="11">
        <f>Saldobalance!D168</f>
        <v>0</v>
      </c>
      <c r="H225" s="4"/>
      <c r="L225" s="4"/>
      <c r="N225" s="20"/>
      <c r="O225" s="20"/>
    </row>
    <row r="226" spans="1:13" s="3" customFormat="1" ht="12.75">
      <c r="A226" s="10" t="str">
        <f>Saldobalance!B169</f>
        <v>HNG</v>
      </c>
      <c r="B226" s="54">
        <v>359538.49</v>
      </c>
      <c r="C226" s="11"/>
      <c r="D226" s="54"/>
      <c r="E226" s="11"/>
      <c r="F226" s="54">
        <f>Saldobalance!D169</f>
        <v>195470.63</v>
      </c>
      <c r="G226" s="11"/>
      <c r="H226" s="4"/>
      <c r="I226" s="20"/>
      <c r="J226" s="20"/>
      <c r="L226" s="4"/>
      <c r="M226" s="20"/>
    </row>
    <row r="227" spans="1:15" ht="13.5" thickBot="1">
      <c r="A227" s="21" t="str">
        <f>Saldobalance!B170</f>
        <v>Varme i alt</v>
      </c>
      <c r="B227" s="37"/>
      <c r="C227" s="7">
        <v>-12797.51000000001</v>
      </c>
      <c r="D227" s="37"/>
      <c r="E227" s="7"/>
      <c r="F227" s="37"/>
      <c r="G227" s="7">
        <f>Saldobalance!D170</f>
        <v>74464.63</v>
      </c>
      <c r="H227" s="4"/>
      <c r="L227" s="4"/>
      <c r="N227" s="3"/>
      <c r="O227" s="3"/>
    </row>
  </sheetData>
  <sheetProtection/>
  <protectedRanges>
    <protectedRange sqref="J128:J131" name="Omr?de20"/>
    <protectedRange sqref="J125" name="Omr?de19"/>
    <protectedRange sqref="J119:J121" name="Omr?de18"/>
    <protectedRange sqref="J112:J116" name="Omr?de17"/>
    <protectedRange sqref="J106:J109" name="Omr?de16"/>
    <protectedRange sqref="J99:J103" name="Omr?de15"/>
    <protectedRange sqref="K96" name="Omr?de14"/>
    <protectedRange sqref="K94" name="Omr?de13"/>
    <protectedRange sqref="B2 D2 F2 H2" name="Omr?de1"/>
    <protectedRange sqref="O4:O5" name="Omr?de2"/>
    <protectedRange sqref="B171:C192 B159:C161 B168:C168 B169 K2 B12:C16 B62:C63 C61 B52:C60 B89:C157 B195:C227" name="Omr?de3"/>
    <protectedRange sqref="K9:K10" name="Omr?de4"/>
    <protectedRange sqref="J48:J51" name="Omr?de8"/>
    <protectedRange sqref="K53:K66" name="Omr?de9"/>
    <protectedRange sqref="J69:K73" name="Omr?de10"/>
    <protectedRange sqref="J76:K84" name="Omr?de11"/>
    <protectedRange sqref="K86" name="Omr?de12"/>
    <protectedRange sqref="J124" name="Omr?de19_1"/>
    <protectedRange sqref="B61" name="Omr?de3_1"/>
    <protectedRange sqref="J19:J25" name="Omr?de5_1"/>
    <protectedRange sqref="J37:J45" name="Omr?de7_1"/>
    <protectedRange sqref="J29:J34" name="Omr?de6_2"/>
    <protectedRange sqref="J28" name="Omr?de6_1_1"/>
  </protectedRanges>
  <printOptions/>
  <pageMargins left="0.7480314960629921" right="0.7480314960629921" top="0.5511811023622047" bottom="0.4330708661417323" header="0" footer="0"/>
  <pageSetup fitToHeight="0" fitToWidth="1" horizontalDpi="600" verticalDpi="600" orientation="landscape" paperSize="9" scale="72" r:id="rId1"/>
  <headerFooter alignWithMargins="0">
    <oddHeader>&amp;LBofællesskabet Bakken&amp;CRegnskab 2012 / Budget 2013</oddHeader>
    <oddFooter>&amp;LMik og Mette&amp;C6. februar 2013&amp;RSide &amp;P</oddFooter>
  </headerFooter>
  <rowBreaks count="5" manualBreakCount="5">
    <brk id="44" max="13" man="1"/>
    <brk id="89" max="255" man="1"/>
    <brk id="138" max="255" man="1"/>
    <brk id="154" max="255" man="1"/>
    <brk id="20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Y286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IV16384"/>
    </sheetView>
  </sheetViews>
  <sheetFormatPr defaultColWidth="9.140625" defaultRowHeight="12.75"/>
  <cols>
    <col min="1" max="1" width="5.00390625" style="0" bestFit="1" customWidth="1"/>
    <col min="2" max="2" width="35.57421875" style="0" bestFit="1" customWidth="1"/>
    <col min="3" max="3" width="11.7109375" style="0" bestFit="1" customWidth="1"/>
    <col min="4" max="4" width="12.421875" style="0" bestFit="1" customWidth="1"/>
    <col min="5" max="5" width="10.421875" style="0" bestFit="1" customWidth="1"/>
  </cols>
  <sheetData>
    <row r="1" spans="1:25" ht="15" customHeight="1">
      <c r="A1" s="139" t="s">
        <v>338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</row>
    <row r="2" spans="1:5" ht="15" customHeight="1">
      <c r="A2" s="127" t="s">
        <v>189</v>
      </c>
      <c r="B2" s="127" t="s">
        <v>94</v>
      </c>
      <c r="C2" s="117" t="s">
        <v>190</v>
      </c>
      <c r="D2" s="117" t="s">
        <v>191</v>
      </c>
      <c r="E2" s="117" t="s">
        <v>192</v>
      </c>
    </row>
    <row r="3" spans="1:5" ht="14.25">
      <c r="A3" s="66"/>
      <c r="B3" s="127" t="s">
        <v>104</v>
      </c>
      <c r="C3" s="66"/>
      <c r="D3" s="66"/>
      <c r="E3" s="66"/>
    </row>
    <row r="4" spans="1:5" ht="12.75">
      <c r="A4" s="66"/>
      <c r="B4" s="66"/>
      <c r="C4" s="66"/>
      <c r="D4" s="66"/>
      <c r="E4" s="66"/>
    </row>
    <row r="5" spans="1:5" ht="14.25">
      <c r="A5" s="66"/>
      <c r="B5" s="127" t="s">
        <v>183</v>
      </c>
      <c r="C5" s="66"/>
      <c r="D5" s="66"/>
      <c r="E5" s="66"/>
    </row>
    <row r="6" spans="1:5" ht="12.75">
      <c r="A6" s="67">
        <v>1010</v>
      </c>
      <c r="B6" s="66" t="s">
        <v>26</v>
      </c>
      <c r="C6" s="68">
        <v>-777600</v>
      </c>
      <c r="D6" s="68">
        <v>-259200</v>
      </c>
      <c r="E6" s="68">
        <f>D6-C6</f>
        <v>518400</v>
      </c>
    </row>
    <row r="7" spans="1:5" ht="12.75">
      <c r="A7" s="67">
        <v>1020</v>
      </c>
      <c r="B7" s="66" t="s">
        <v>28</v>
      </c>
      <c r="C7" s="68">
        <v>-46656</v>
      </c>
      <c r="D7" s="68">
        <v>-15552</v>
      </c>
      <c r="E7" s="68">
        <f>D7-C7</f>
        <v>31104</v>
      </c>
    </row>
    <row r="8" spans="1:5" ht="12.75">
      <c r="A8" s="67">
        <v>1030</v>
      </c>
      <c r="B8" s="66" t="s">
        <v>266</v>
      </c>
      <c r="C8" s="68">
        <v>-2000</v>
      </c>
      <c r="D8" s="68">
        <v>-700</v>
      </c>
      <c r="E8" s="68">
        <f>D8-C8</f>
        <v>1300</v>
      </c>
    </row>
    <row r="9" spans="1:5" ht="12.75">
      <c r="A9" s="67">
        <v>1040</v>
      </c>
      <c r="B9" s="66" t="s">
        <v>6</v>
      </c>
      <c r="C9" s="68">
        <v>0</v>
      </c>
      <c r="D9" s="68">
        <v>0</v>
      </c>
      <c r="E9" s="68">
        <f>D9-C9</f>
        <v>0</v>
      </c>
    </row>
    <row r="10" spans="1:5" ht="14.25">
      <c r="A10" s="66"/>
      <c r="B10" s="127" t="s">
        <v>105</v>
      </c>
      <c r="C10" s="114">
        <f>+SUM(C6:C9)</f>
        <v>-826256</v>
      </c>
      <c r="D10" s="114">
        <f>+SUM(D6:D9)</f>
        <v>-275452</v>
      </c>
      <c r="E10" s="114">
        <f>D10-C10</f>
        <v>550804</v>
      </c>
    </row>
    <row r="11" spans="1:5" ht="12.75">
      <c r="A11" s="66"/>
      <c r="B11" s="66"/>
      <c r="C11" s="66"/>
      <c r="D11" s="66"/>
      <c r="E11" s="66"/>
    </row>
    <row r="12" spans="1:5" ht="14.25">
      <c r="A12" s="66"/>
      <c r="B12" s="127" t="s">
        <v>106</v>
      </c>
      <c r="C12" s="66"/>
      <c r="D12" s="66"/>
      <c r="E12" s="66"/>
    </row>
    <row r="13" spans="1:5" ht="12.75">
      <c r="A13" s="66"/>
      <c r="B13" s="66"/>
      <c r="C13" s="66"/>
      <c r="D13" s="66"/>
      <c r="E13" s="66"/>
    </row>
    <row r="14" spans="1:5" ht="14.25">
      <c r="A14" s="66"/>
      <c r="B14" s="127" t="s">
        <v>108</v>
      </c>
      <c r="C14" s="66"/>
      <c r="D14" s="66"/>
      <c r="E14" s="66"/>
    </row>
    <row r="15" spans="1:5" ht="12.75">
      <c r="A15" s="67">
        <v>1311</v>
      </c>
      <c r="B15" s="66" t="s">
        <v>29</v>
      </c>
      <c r="C15" s="68">
        <v>25000</v>
      </c>
      <c r="D15" s="68">
        <v>371.25</v>
      </c>
      <c r="E15" s="68">
        <f aca="true" t="shared" si="0" ref="E15:E22">D15-C15</f>
        <v>-24628.75</v>
      </c>
    </row>
    <row r="16" spans="1:5" ht="12.75">
      <c r="A16" s="67">
        <v>1312</v>
      </c>
      <c r="B16" s="66" t="s">
        <v>30</v>
      </c>
      <c r="C16" s="68">
        <v>20000</v>
      </c>
      <c r="D16" s="68">
        <v>10464.23</v>
      </c>
      <c r="E16" s="68">
        <f t="shared" si="0"/>
        <v>-9535.77</v>
      </c>
    </row>
    <row r="17" spans="1:5" ht="12.75">
      <c r="A17" s="67">
        <v>1313</v>
      </c>
      <c r="B17" s="66" t="s">
        <v>244</v>
      </c>
      <c r="C17" s="68">
        <v>25000</v>
      </c>
      <c r="D17" s="68">
        <v>20103.61</v>
      </c>
      <c r="E17" s="68">
        <f t="shared" si="0"/>
        <v>-4896.389999999999</v>
      </c>
    </row>
    <row r="18" spans="1:5" ht="12.75">
      <c r="A18" s="67">
        <v>1314</v>
      </c>
      <c r="B18" s="66" t="s">
        <v>32</v>
      </c>
      <c r="C18" s="68">
        <v>12000</v>
      </c>
      <c r="D18" s="68">
        <v>1037.35</v>
      </c>
      <c r="E18" s="68">
        <f t="shared" si="0"/>
        <v>-10962.65</v>
      </c>
    </row>
    <row r="19" spans="1:5" ht="12.75">
      <c r="A19" s="67">
        <v>1315</v>
      </c>
      <c r="B19" s="66" t="s">
        <v>31</v>
      </c>
      <c r="C19" s="68">
        <v>6000</v>
      </c>
      <c r="D19" s="68">
        <v>90</v>
      </c>
      <c r="E19" s="68">
        <f t="shared" si="0"/>
        <v>-5910</v>
      </c>
    </row>
    <row r="20" spans="1:5" ht="12.75">
      <c r="A20" s="67">
        <v>1316</v>
      </c>
      <c r="B20" s="66" t="s">
        <v>33</v>
      </c>
      <c r="C20" s="68">
        <v>30000</v>
      </c>
      <c r="D20" s="68">
        <v>2143.73</v>
      </c>
      <c r="E20" s="68">
        <f t="shared" si="0"/>
        <v>-27856.27</v>
      </c>
    </row>
    <row r="21" spans="1:5" ht="12.75">
      <c r="A21" s="67">
        <v>1317</v>
      </c>
      <c r="B21" s="66" t="s">
        <v>17</v>
      </c>
      <c r="C21" s="68">
        <v>21000</v>
      </c>
      <c r="D21" s="68">
        <v>0</v>
      </c>
      <c r="E21" s="68">
        <f t="shared" si="0"/>
        <v>-21000</v>
      </c>
    </row>
    <row r="22" spans="1:5" ht="14.25">
      <c r="A22" s="66"/>
      <c r="B22" s="127" t="s">
        <v>109</v>
      </c>
      <c r="C22" s="114">
        <f>+SUM(C15:C21)</f>
        <v>139000</v>
      </c>
      <c r="D22" s="114">
        <f>+SUM(D15:D21)</f>
        <v>34210.17</v>
      </c>
      <c r="E22" s="114">
        <f t="shared" si="0"/>
        <v>-104789.83</v>
      </c>
    </row>
    <row r="23" spans="1:5" ht="12.75">
      <c r="A23" s="66"/>
      <c r="B23" s="66"/>
      <c r="C23" s="66"/>
      <c r="D23" s="66"/>
      <c r="E23" s="66"/>
    </row>
    <row r="24" spans="1:5" ht="14.25">
      <c r="A24" s="66"/>
      <c r="B24" s="127" t="s">
        <v>110</v>
      </c>
      <c r="C24" s="66"/>
      <c r="D24" s="66"/>
      <c r="E24" s="66"/>
    </row>
    <row r="25" spans="1:5" ht="12.75">
      <c r="A25" s="67">
        <v>1321</v>
      </c>
      <c r="B25" s="66" t="s">
        <v>34</v>
      </c>
      <c r="C25" s="68">
        <v>2000</v>
      </c>
      <c r="D25" s="68">
        <v>2139.13</v>
      </c>
      <c r="E25" s="68">
        <f aca="true" t="shared" si="1" ref="E25:E32">D25-C25</f>
        <v>139.1300000000001</v>
      </c>
    </row>
    <row r="26" spans="1:5" ht="12.75">
      <c r="A26" s="67">
        <v>1322</v>
      </c>
      <c r="B26" s="66" t="s">
        <v>35</v>
      </c>
      <c r="C26" s="68">
        <v>9000</v>
      </c>
      <c r="D26" s="68">
        <v>4594.37</v>
      </c>
      <c r="E26" s="68">
        <f t="shared" si="1"/>
        <v>-4405.63</v>
      </c>
    </row>
    <row r="27" spans="1:5" ht="12.75">
      <c r="A27" s="67">
        <v>1323</v>
      </c>
      <c r="B27" s="66" t="s">
        <v>36</v>
      </c>
      <c r="C27" s="68">
        <v>3000</v>
      </c>
      <c r="D27" s="68">
        <v>2134.89</v>
      </c>
      <c r="E27" s="68">
        <f t="shared" si="1"/>
        <v>-865.1100000000001</v>
      </c>
    </row>
    <row r="28" spans="1:5" ht="12.75">
      <c r="A28" s="67">
        <v>1324</v>
      </c>
      <c r="B28" s="66" t="s">
        <v>37</v>
      </c>
      <c r="C28" s="68">
        <v>25000</v>
      </c>
      <c r="D28" s="68">
        <v>3784.57</v>
      </c>
      <c r="E28" s="68">
        <f t="shared" si="1"/>
        <v>-21215.43</v>
      </c>
    </row>
    <row r="29" spans="1:5" ht="12.75">
      <c r="A29" s="67">
        <v>1325</v>
      </c>
      <c r="B29" s="66" t="s">
        <v>267</v>
      </c>
      <c r="C29" s="68">
        <v>1200</v>
      </c>
      <c r="D29" s="68">
        <v>375</v>
      </c>
      <c r="E29" s="68">
        <f t="shared" si="1"/>
        <v>-825</v>
      </c>
    </row>
    <row r="30" spans="1:5" ht="12.75">
      <c r="A30" s="67">
        <v>1326</v>
      </c>
      <c r="B30" s="66" t="s">
        <v>38</v>
      </c>
      <c r="C30" s="68">
        <v>2000</v>
      </c>
      <c r="D30" s="68">
        <v>821.85</v>
      </c>
      <c r="E30" s="68">
        <f t="shared" si="1"/>
        <v>-1178.15</v>
      </c>
    </row>
    <row r="31" spans="1:5" ht="12.75">
      <c r="A31" s="67">
        <v>1327</v>
      </c>
      <c r="B31" s="66" t="s">
        <v>265</v>
      </c>
      <c r="C31" s="68">
        <v>2000</v>
      </c>
      <c r="D31" s="68">
        <v>0</v>
      </c>
      <c r="E31" s="68">
        <f t="shared" si="1"/>
        <v>-2000</v>
      </c>
    </row>
    <row r="32" spans="1:5" ht="14.25">
      <c r="A32" s="66"/>
      <c r="B32" s="127" t="s">
        <v>111</v>
      </c>
      <c r="C32" s="114">
        <f>+SUM(C25:C31)</f>
        <v>44200</v>
      </c>
      <c r="D32" s="114">
        <f>+SUM(D25:D31)</f>
        <v>13849.81</v>
      </c>
      <c r="E32" s="114">
        <f t="shared" si="1"/>
        <v>-30350.190000000002</v>
      </c>
    </row>
    <row r="33" spans="1:5" ht="12.75">
      <c r="A33" s="66"/>
      <c r="B33" s="66"/>
      <c r="C33" s="66"/>
      <c r="D33" s="66"/>
      <c r="E33" s="66"/>
    </row>
    <row r="34" spans="1:5" ht="14.25">
      <c r="A34" s="66"/>
      <c r="B34" s="127" t="s">
        <v>112</v>
      </c>
      <c r="C34" s="66"/>
      <c r="D34" s="66"/>
      <c r="E34" s="66"/>
    </row>
    <row r="35" spans="1:5" ht="12.75">
      <c r="A35" s="67">
        <v>1331</v>
      </c>
      <c r="B35" s="66" t="s">
        <v>39</v>
      </c>
      <c r="C35" s="68">
        <v>10000</v>
      </c>
      <c r="D35" s="68">
        <v>2888.85</v>
      </c>
      <c r="E35" s="68">
        <f aca="true" t="shared" si="2" ref="E35:E45">D35-C35</f>
        <v>-7111.15</v>
      </c>
    </row>
    <row r="36" spans="1:5" ht="12.75">
      <c r="A36" s="67">
        <v>1332</v>
      </c>
      <c r="B36" s="66" t="s">
        <v>255</v>
      </c>
      <c r="C36" s="68">
        <v>9000</v>
      </c>
      <c r="D36" s="68">
        <v>569.39</v>
      </c>
      <c r="E36" s="68">
        <f t="shared" si="2"/>
        <v>-8430.61</v>
      </c>
    </row>
    <row r="37" spans="1:5" ht="12.75">
      <c r="A37" s="67">
        <v>1333</v>
      </c>
      <c r="B37" s="66" t="s">
        <v>40</v>
      </c>
      <c r="C37" s="68">
        <v>10000</v>
      </c>
      <c r="D37" s="68">
        <v>3405.55</v>
      </c>
      <c r="E37" s="68">
        <f t="shared" si="2"/>
        <v>-6594.45</v>
      </c>
    </row>
    <row r="38" spans="1:5" ht="12.75">
      <c r="A38" s="67">
        <v>1334</v>
      </c>
      <c r="B38" s="66" t="s">
        <v>41</v>
      </c>
      <c r="C38" s="68">
        <v>2000</v>
      </c>
      <c r="D38" s="68">
        <v>115</v>
      </c>
      <c r="E38" s="68">
        <f t="shared" si="2"/>
        <v>-1885</v>
      </c>
    </row>
    <row r="39" spans="1:5" ht="12.75">
      <c r="A39" s="67">
        <v>1335</v>
      </c>
      <c r="B39" s="66" t="s">
        <v>42</v>
      </c>
      <c r="C39" s="68">
        <v>4000</v>
      </c>
      <c r="D39" s="68">
        <v>0</v>
      </c>
      <c r="E39" s="68">
        <f t="shared" si="2"/>
        <v>-4000</v>
      </c>
    </row>
    <row r="40" spans="1:5" ht="12.75">
      <c r="A40" s="67">
        <v>1336</v>
      </c>
      <c r="B40" s="66" t="s">
        <v>43</v>
      </c>
      <c r="C40" s="68">
        <v>2000</v>
      </c>
      <c r="D40" s="68">
        <v>949.23</v>
      </c>
      <c r="E40" s="68">
        <f t="shared" si="2"/>
        <v>-1050.77</v>
      </c>
    </row>
    <row r="41" spans="1:5" ht="12.75">
      <c r="A41" s="67">
        <v>1337</v>
      </c>
      <c r="B41" s="66" t="s">
        <v>44</v>
      </c>
      <c r="C41" s="68">
        <v>1000</v>
      </c>
      <c r="D41" s="68">
        <v>0</v>
      </c>
      <c r="E41" s="68">
        <f t="shared" si="2"/>
        <v>-1000</v>
      </c>
    </row>
    <row r="42" spans="1:5" ht="12.75">
      <c r="A42" s="67">
        <v>1338</v>
      </c>
      <c r="B42" s="66" t="s">
        <v>45</v>
      </c>
      <c r="C42" s="68">
        <v>25000</v>
      </c>
      <c r="D42" s="68">
        <v>0</v>
      </c>
      <c r="E42" s="68">
        <f t="shared" si="2"/>
        <v>-25000</v>
      </c>
    </row>
    <row r="43" spans="1:5" ht="12.75">
      <c r="A43" s="67">
        <v>1339</v>
      </c>
      <c r="B43" s="66" t="s">
        <v>46</v>
      </c>
      <c r="C43" s="68">
        <v>1000</v>
      </c>
      <c r="D43" s="68">
        <v>0</v>
      </c>
      <c r="E43" s="68">
        <f t="shared" si="2"/>
        <v>-1000</v>
      </c>
    </row>
    <row r="44" spans="1:5" ht="12.75">
      <c r="A44" s="67">
        <v>1340</v>
      </c>
      <c r="B44" s="66" t="s">
        <v>256</v>
      </c>
      <c r="C44" s="68">
        <v>0</v>
      </c>
      <c r="D44" s="68">
        <v>0</v>
      </c>
      <c r="E44" s="68">
        <f t="shared" si="2"/>
        <v>0</v>
      </c>
    </row>
    <row r="45" spans="1:5" ht="14.25">
      <c r="A45" s="66"/>
      <c r="B45" s="127" t="s">
        <v>193</v>
      </c>
      <c r="C45" s="114">
        <f>+SUM(C35:C44)</f>
        <v>64000</v>
      </c>
      <c r="D45" s="114">
        <f>+SUM(D35:D44)</f>
        <v>7928.02</v>
      </c>
      <c r="E45" s="114">
        <f t="shared" si="2"/>
        <v>-56071.979999999996</v>
      </c>
    </row>
    <row r="46" spans="1:5" ht="12.75">
      <c r="A46" s="66"/>
      <c r="B46" s="66"/>
      <c r="C46" s="66"/>
      <c r="D46" s="66"/>
      <c r="E46" s="66"/>
    </row>
    <row r="47" spans="1:5" ht="14.25">
      <c r="A47" s="66"/>
      <c r="B47" s="127" t="s">
        <v>113</v>
      </c>
      <c r="C47" s="66"/>
      <c r="D47" s="66"/>
      <c r="E47" s="66"/>
    </row>
    <row r="48" spans="1:5" ht="12.75">
      <c r="A48" s="67">
        <v>1351</v>
      </c>
      <c r="B48" s="66" t="s">
        <v>47</v>
      </c>
      <c r="C48" s="68">
        <v>4000</v>
      </c>
      <c r="D48" s="68">
        <v>1231</v>
      </c>
      <c r="E48" s="68">
        <f>D48-C48</f>
        <v>-2769</v>
      </c>
    </row>
    <row r="49" spans="1:5" ht="12.75">
      <c r="A49" s="67">
        <v>1352</v>
      </c>
      <c r="B49" s="66" t="s">
        <v>217</v>
      </c>
      <c r="C49" s="68">
        <v>5000</v>
      </c>
      <c r="D49" s="68">
        <v>2270</v>
      </c>
      <c r="E49" s="68">
        <f>D49-C49</f>
        <v>-2730</v>
      </c>
    </row>
    <row r="50" spans="1:5" ht="12.75">
      <c r="A50" s="67">
        <v>1353</v>
      </c>
      <c r="B50" s="66" t="s">
        <v>48</v>
      </c>
      <c r="C50" s="68">
        <v>2000</v>
      </c>
      <c r="D50" s="68">
        <v>45</v>
      </c>
      <c r="E50" s="68">
        <f>D50-C50</f>
        <v>-1955</v>
      </c>
    </row>
    <row r="51" spans="1:5" ht="12.75">
      <c r="A51" s="67">
        <v>1355</v>
      </c>
      <c r="B51" s="66" t="s">
        <v>218</v>
      </c>
      <c r="C51" s="68">
        <v>1000</v>
      </c>
      <c r="D51" s="68">
        <v>0</v>
      </c>
      <c r="E51" s="68">
        <f>D51-C51</f>
        <v>-1000</v>
      </c>
    </row>
    <row r="52" spans="1:5" ht="14.25">
      <c r="A52" s="66"/>
      <c r="B52" s="127" t="s">
        <v>114</v>
      </c>
      <c r="C52" s="114">
        <f>+SUM(C48:C51)</f>
        <v>12000</v>
      </c>
      <c r="D52" s="114">
        <f>+SUM(D48:D51)</f>
        <v>3546</v>
      </c>
      <c r="E52" s="114">
        <f>D52-C52</f>
        <v>-8454</v>
      </c>
    </row>
    <row r="53" spans="1:5" ht="12.75">
      <c r="A53" s="66"/>
      <c r="B53" s="66"/>
      <c r="C53" s="66"/>
      <c r="D53" s="66"/>
      <c r="E53" s="66"/>
    </row>
    <row r="54" spans="1:5" ht="14.25">
      <c r="A54" s="66"/>
      <c r="B54" s="127" t="s">
        <v>313</v>
      </c>
      <c r="C54" s="66"/>
      <c r="D54" s="66"/>
      <c r="E54" s="66"/>
    </row>
    <row r="55" spans="1:5" ht="12.75">
      <c r="A55" s="67">
        <v>1361</v>
      </c>
      <c r="B55" s="66" t="s">
        <v>318</v>
      </c>
      <c r="C55" s="68">
        <v>16000</v>
      </c>
      <c r="D55" s="68">
        <v>0</v>
      </c>
      <c r="E55" s="68">
        <f aca="true" t="shared" si="3" ref="E55:E70">D55-C55</f>
        <v>-16000</v>
      </c>
    </row>
    <row r="56" spans="1:5" ht="12.75">
      <c r="A56" s="67">
        <v>1362</v>
      </c>
      <c r="B56" s="66" t="s">
        <v>319</v>
      </c>
      <c r="C56" s="68">
        <v>5000</v>
      </c>
      <c r="D56" s="68">
        <v>0</v>
      </c>
      <c r="E56" s="68">
        <f t="shared" si="3"/>
        <v>-5000</v>
      </c>
    </row>
    <row r="57" spans="1:5" ht="12.75">
      <c r="A57" s="67">
        <v>1363</v>
      </c>
      <c r="B57" s="66" t="s">
        <v>320</v>
      </c>
      <c r="C57" s="68">
        <v>70000</v>
      </c>
      <c r="D57" s="68">
        <v>0</v>
      </c>
      <c r="E57" s="68">
        <f t="shared" si="3"/>
        <v>-70000</v>
      </c>
    </row>
    <row r="58" spans="1:5" ht="12.75">
      <c r="A58" s="67">
        <v>1364</v>
      </c>
      <c r="B58" s="66" t="s">
        <v>321</v>
      </c>
      <c r="C58" s="68">
        <v>0</v>
      </c>
      <c r="D58" s="68">
        <v>0</v>
      </c>
      <c r="E58" s="68">
        <f t="shared" si="3"/>
        <v>0</v>
      </c>
    </row>
    <row r="59" spans="1:5" ht="12.75">
      <c r="A59" s="67">
        <v>1365</v>
      </c>
      <c r="B59" s="66" t="s">
        <v>322</v>
      </c>
      <c r="C59" s="68">
        <v>0</v>
      </c>
      <c r="D59" s="68">
        <v>0</v>
      </c>
      <c r="E59" s="68">
        <f t="shared" si="3"/>
        <v>0</v>
      </c>
    </row>
    <row r="60" spans="1:5" ht="12.75">
      <c r="A60" s="67">
        <v>1366</v>
      </c>
      <c r="B60" s="66" t="s">
        <v>327</v>
      </c>
      <c r="C60" s="68">
        <v>36000</v>
      </c>
      <c r="D60" s="68">
        <v>0</v>
      </c>
      <c r="E60" s="68">
        <f t="shared" si="3"/>
        <v>-36000</v>
      </c>
    </row>
    <row r="61" spans="1:5" ht="12.75">
      <c r="A61" s="67">
        <v>1367</v>
      </c>
      <c r="B61" s="66" t="s">
        <v>328</v>
      </c>
      <c r="C61" s="68">
        <v>10000</v>
      </c>
      <c r="D61" s="68">
        <v>2798.13</v>
      </c>
      <c r="E61" s="68">
        <f t="shared" si="3"/>
        <v>-7201.87</v>
      </c>
    </row>
    <row r="62" spans="1:5" ht="12.75">
      <c r="A62" s="67">
        <v>1368</v>
      </c>
      <c r="B62" s="66" t="s">
        <v>339</v>
      </c>
      <c r="C62" s="68">
        <v>0</v>
      </c>
      <c r="D62" s="68">
        <v>0</v>
      </c>
      <c r="E62" s="68">
        <f t="shared" si="3"/>
        <v>0</v>
      </c>
    </row>
    <row r="63" spans="1:5" ht="12.75">
      <c r="A63" s="67">
        <v>1369</v>
      </c>
      <c r="B63" s="66" t="s">
        <v>340</v>
      </c>
      <c r="C63" s="68">
        <v>0</v>
      </c>
      <c r="D63" s="68">
        <v>0</v>
      </c>
      <c r="E63" s="68">
        <f t="shared" si="3"/>
        <v>0</v>
      </c>
    </row>
    <row r="64" spans="1:5" ht="12.75">
      <c r="A64" s="67">
        <v>1370</v>
      </c>
      <c r="B64" s="66" t="s">
        <v>341</v>
      </c>
      <c r="C64" s="68">
        <v>0</v>
      </c>
      <c r="D64" s="68">
        <v>0</v>
      </c>
      <c r="E64" s="68">
        <f t="shared" si="3"/>
        <v>0</v>
      </c>
    </row>
    <row r="65" spans="1:5" ht="12.75">
      <c r="A65" s="67">
        <v>1371</v>
      </c>
      <c r="B65" s="66" t="s">
        <v>342</v>
      </c>
      <c r="C65" s="68">
        <v>0</v>
      </c>
      <c r="D65" s="68">
        <v>0</v>
      </c>
      <c r="E65" s="68">
        <f t="shared" si="3"/>
        <v>0</v>
      </c>
    </row>
    <row r="66" spans="1:5" ht="12.75">
      <c r="A66" s="67">
        <v>1372</v>
      </c>
      <c r="B66" s="66" t="s">
        <v>323</v>
      </c>
      <c r="C66" s="68">
        <v>0</v>
      </c>
      <c r="D66" s="68">
        <v>0</v>
      </c>
      <c r="E66" s="68">
        <f t="shared" si="3"/>
        <v>0</v>
      </c>
    </row>
    <row r="67" spans="1:5" ht="12.75">
      <c r="A67" s="67">
        <v>1373</v>
      </c>
      <c r="B67" s="66" t="s">
        <v>329</v>
      </c>
      <c r="C67" s="68">
        <v>-93000</v>
      </c>
      <c r="D67" s="68">
        <v>-93000</v>
      </c>
      <c r="E67" s="68">
        <f t="shared" si="3"/>
        <v>0</v>
      </c>
    </row>
    <row r="68" spans="1:5" ht="14.25">
      <c r="A68" s="66"/>
      <c r="B68" s="127" t="s">
        <v>324</v>
      </c>
      <c r="C68" s="114">
        <f>+SUM(C55:C67)</f>
        <v>44000</v>
      </c>
      <c r="D68" s="114">
        <f>+SUM(D55:D67)</f>
        <v>-90201.87</v>
      </c>
      <c r="E68" s="114">
        <f t="shared" si="3"/>
        <v>-134201.87</v>
      </c>
    </row>
    <row r="69" spans="1:5" ht="12.75">
      <c r="A69" s="67">
        <v>1376</v>
      </c>
      <c r="B69" s="66" t="s">
        <v>49</v>
      </c>
      <c r="C69" s="68">
        <v>35000</v>
      </c>
      <c r="D69" s="68">
        <v>684</v>
      </c>
      <c r="E69" s="68">
        <f t="shared" si="3"/>
        <v>-34316</v>
      </c>
    </row>
    <row r="70" spans="1:5" ht="12.75">
      <c r="A70" s="67">
        <v>1378</v>
      </c>
      <c r="B70" s="66" t="s">
        <v>250</v>
      </c>
      <c r="C70" s="68">
        <v>3000</v>
      </c>
      <c r="D70" s="68">
        <v>0</v>
      </c>
      <c r="E70" s="68">
        <f t="shared" si="3"/>
        <v>-3000</v>
      </c>
    </row>
    <row r="71" spans="1:5" ht="12.75">
      <c r="A71" s="66"/>
      <c r="B71" s="66"/>
      <c r="C71" s="66"/>
      <c r="D71" s="66"/>
      <c r="E71" s="66"/>
    </row>
    <row r="72" spans="1:5" ht="14.25">
      <c r="A72" s="66"/>
      <c r="B72" s="127" t="s">
        <v>231</v>
      </c>
      <c r="C72" s="66"/>
      <c r="D72" s="66"/>
      <c r="E72" s="66"/>
    </row>
    <row r="73" spans="1:5" ht="12.75">
      <c r="A73" s="67">
        <v>1382</v>
      </c>
      <c r="B73" s="66" t="s">
        <v>296</v>
      </c>
      <c r="C73" s="68">
        <v>-22000</v>
      </c>
      <c r="D73" s="68">
        <v>-3585.4</v>
      </c>
      <c r="E73" s="68">
        <f aca="true" t="shared" si="4" ref="E73:E78">D73-C73</f>
        <v>18414.6</v>
      </c>
    </row>
    <row r="74" spans="1:5" ht="12.75">
      <c r="A74" s="67">
        <v>1383</v>
      </c>
      <c r="B74" s="66" t="s">
        <v>297</v>
      </c>
      <c r="C74" s="68">
        <v>2000</v>
      </c>
      <c r="D74" s="68">
        <v>0</v>
      </c>
      <c r="E74" s="68">
        <f t="shared" si="4"/>
        <v>-2000</v>
      </c>
    </row>
    <row r="75" spans="1:5" ht="12.75">
      <c r="A75" s="67">
        <v>1384</v>
      </c>
      <c r="B75" s="66" t="s">
        <v>232</v>
      </c>
      <c r="C75" s="68">
        <v>26000</v>
      </c>
      <c r="D75" s="68">
        <v>1103.75</v>
      </c>
      <c r="E75" s="68">
        <f t="shared" si="4"/>
        <v>-24896.25</v>
      </c>
    </row>
    <row r="76" spans="1:5" ht="12.75">
      <c r="A76" s="67">
        <v>1392</v>
      </c>
      <c r="B76" s="66" t="s">
        <v>233</v>
      </c>
      <c r="C76" s="68">
        <v>6000</v>
      </c>
      <c r="D76" s="68">
        <v>508.85</v>
      </c>
      <c r="E76" s="68">
        <f t="shared" si="4"/>
        <v>-5491.15</v>
      </c>
    </row>
    <row r="77" spans="1:5" ht="12.75">
      <c r="A77" s="67">
        <v>1397</v>
      </c>
      <c r="B77" s="66" t="s">
        <v>234</v>
      </c>
      <c r="C77" s="68">
        <v>2000</v>
      </c>
      <c r="D77" s="68">
        <v>0</v>
      </c>
      <c r="E77" s="68">
        <f t="shared" si="4"/>
        <v>-2000</v>
      </c>
    </row>
    <row r="78" spans="1:5" ht="14.25">
      <c r="A78" s="66"/>
      <c r="B78" s="127" t="s">
        <v>235</v>
      </c>
      <c r="C78" s="114">
        <f>+SUM(C73:C77)</f>
        <v>14000</v>
      </c>
      <c r="D78" s="114">
        <f>+SUM(D73:D77)</f>
        <v>-1972.8000000000002</v>
      </c>
      <c r="E78" s="114">
        <f t="shared" si="4"/>
        <v>-15972.8</v>
      </c>
    </row>
    <row r="79" spans="1:5" ht="12.75">
      <c r="A79" s="66"/>
      <c r="B79" s="66"/>
      <c r="C79" s="66"/>
      <c r="D79" s="66"/>
      <c r="E79" s="66"/>
    </row>
    <row r="80" spans="1:5" ht="14.25">
      <c r="A80" s="66"/>
      <c r="B80" s="127" t="s">
        <v>134</v>
      </c>
      <c r="C80" s="66"/>
      <c r="D80" s="66"/>
      <c r="E80" s="66"/>
    </row>
    <row r="81" spans="1:5" ht="12.75">
      <c r="A81" s="67">
        <v>1410</v>
      </c>
      <c r="B81" s="66" t="s">
        <v>89</v>
      </c>
      <c r="C81" s="68">
        <v>-135360</v>
      </c>
      <c r="D81" s="68">
        <v>-45120</v>
      </c>
      <c r="E81" s="68">
        <f aca="true" t="shared" si="5" ref="E81:E91">D81-C81</f>
        <v>90240</v>
      </c>
    </row>
    <row r="82" spans="1:5" ht="12.75">
      <c r="A82" s="67">
        <v>1420</v>
      </c>
      <c r="B82" s="66" t="s">
        <v>224</v>
      </c>
      <c r="C82" s="68">
        <v>0</v>
      </c>
      <c r="D82" s="68">
        <v>0</v>
      </c>
      <c r="E82" s="68">
        <f t="shared" si="5"/>
        <v>0</v>
      </c>
    </row>
    <row r="83" spans="1:5" ht="12.75">
      <c r="A83" s="67">
        <v>1425</v>
      </c>
      <c r="B83" s="66" t="s">
        <v>195</v>
      </c>
      <c r="C83" s="68">
        <v>-10000</v>
      </c>
      <c r="D83" s="68">
        <v>-3273</v>
      </c>
      <c r="E83" s="68">
        <f t="shared" si="5"/>
        <v>6727</v>
      </c>
    </row>
    <row r="84" spans="1:5" ht="12.75">
      <c r="A84" s="67">
        <v>1427</v>
      </c>
      <c r="B84" s="66" t="s">
        <v>91</v>
      </c>
      <c r="C84" s="68">
        <v>10000</v>
      </c>
      <c r="D84" s="68">
        <v>2462.6</v>
      </c>
      <c r="E84" s="68">
        <f t="shared" si="5"/>
        <v>-7537.4</v>
      </c>
    </row>
    <row r="85" spans="1:5" ht="12.75">
      <c r="A85" s="67">
        <v>1430</v>
      </c>
      <c r="B85" s="66" t="s">
        <v>92</v>
      </c>
      <c r="C85" s="68">
        <v>46656</v>
      </c>
      <c r="D85" s="68">
        <v>15552</v>
      </c>
      <c r="E85" s="68">
        <f t="shared" si="5"/>
        <v>-31104</v>
      </c>
    </row>
    <row r="86" spans="1:5" ht="12.75">
      <c r="A86" s="67">
        <v>1440</v>
      </c>
      <c r="B86" s="66" t="s">
        <v>15</v>
      </c>
      <c r="C86" s="68">
        <v>3340</v>
      </c>
      <c r="D86" s="68">
        <v>1464.69</v>
      </c>
      <c r="E86" s="68">
        <f t="shared" si="5"/>
        <v>-1875.31</v>
      </c>
    </row>
    <row r="87" spans="1:5" ht="12.75">
      <c r="A87" s="67">
        <v>1450</v>
      </c>
      <c r="B87" s="66" t="s">
        <v>51</v>
      </c>
      <c r="C87" s="68">
        <v>37195.34</v>
      </c>
      <c r="D87" s="68">
        <v>18597.67</v>
      </c>
      <c r="E87" s="68">
        <f t="shared" si="5"/>
        <v>-18597.67</v>
      </c>
    </row>
    <row r="88" spans="1:5" ht="12.75">
      <c r="A88" s="67">
        <v>1460</v>
      </c>
      <c r="B88" s="66" t="s">
        <v>225</v>
      </c>
      <c r="C88" s="68">
        <v>9000</v>
      </c>
      <c r="D88" s="68">
        <v>9221.94</v>
      </c>
      <c r="E88" s="68">
        <f t="shared" si="5"/>
        <v>221.9400000000005</v>
      </c>
    </row>
    <row r="89" spans="1:5" ht="12.75">
      <c r="A89" s="67">
        <v>1470</v>
      </c>
      <c r="B89" s="66" t="s">
        <v>93</v>
      </c>
      <c r="C89" s="68">
        <v>4000</v>
      </c>
      <c r="D89" s="68">
        <v>5251.4</v>
      </c>
      <c r="E89" s="68">
        <f t="shared" si="5"/>
        <v>1251.3999999999996</v>
      </c>
    </row>
    <row r="90" spans="1:5" ht="12.75">
      <c r="A90" s="67">
        <v>1480</v>
      </c>
      <c r="B90" s="66" t="s">
        <v>226</v>
      </c>
      <c r="C90" s="68">
        <v>15000</v>
      </c>
      <c r="D90" s="68">
        <v>1809.83</v>
      </c>
      <c r="E90" s="68">
        <f t="shared" si="5"/>
        <v>-13190.17</v>
      </c>
    </row>
    <row r="91" spans="1:5" ht="14.25">
      <c r="A91" s="66"/>
      <c r="B91" s="127" t="s">
        <v>135</v>
      </c>
      <c r="C91" s="114">
        <f>+SUM(C81:C90)</f>
        <v>-20168.660000000003</v>
      </c>
      <c r="D91" s="114">
        <f>+SUM(D81:D90)</f>
        <v>5967.129999999996</v>
      </c>
      <c r="E91" s="114">
        <f t="shared" si="5"/>
        <v>26135.79</v>
      </c>
    </row>
    <row r="92" spans="1:5" ht="12.75">
      <c r="A92" s="66"/>
      <c r="B92" s="66"/>
      <c r="C92" s="66"/>
      <c r="D92" s="66"/>
      <c r="E92" s="66"/>
    </row>
    <row r="93" spans="1:5" ht="14.25">
      <c r="A93" s="66"/>
      <c r="B93" s="127"/>
      <c r="C93" s="66"/>
      <c r="D93" s="66"/>
      <c r="E93" s="66"/>
    </row>
    <row r="94" spans="1:5" ht="12.75">
      <c r="A94" s="67">
        <v>1997</v>
      </c>
      <c r="B94" s="66" t="s">
        <v>50</v>
      </c>
      <c r="C94" s="68">
        <v>0</v>
      </c>
      <c r="D94" s="68">
        <v>0</v>
      </c>
      <c r="E94" s="68">
        <f>D94-C94</f>
        <v>0</v>
      </c>
    </row>
    <row r="95" spans="1:5" ht="14.25">
      <c r="A95" s="66"/>
      <c r="B95" s="127" t="s">
        <v>115</v>
      </c>
      <c r="C95" s="114">
        <f>+SUM(C15:C21)+SUM(C25:C31)+SUM(C35:C44)+SUM(C48:C51)+SUM(C55:C67)+SUM(C69:C70)+SUM(C73:C77)+SUM(C81:C90)+SUM(C94:C94)</f>
        <v>335031.33999999997</v>
      </c>
      <c r="D95" s="114">
        <f>+SUM(D15:D21)+SUM(D25:D31)+SUM(D35:D44)+SUM(D48:D51)+SUM(D55:D67)+SUM(D69:D70)+SUM(D73:D77)+SUM(D81:D90)+SUM(D94:D94)</f>
        <v>-25989.54</v>
      </c>
      <c r="E95" s="114">
        <f>D95-C95</f>
        <v>-361020.87999999995</v>
      </c>
    </row>
    <row r="96" spans="1:5" ht="14.25">
      <c r="A96" s="66"/>
      <c r="B96" s="127" t="s">
        <v>116</v>
      </c>
      <c r="C96" s="114">
        <f>+SUM(C6:C9)+SUM(C15:C21)+SUM(C25:C31)+SUM(C35:C44)+SUM(C48:C51)+SUM(C55:C67)+SUM(C69:C70)+SUM(C73:C77)+SUM(C81:C90)+SUM(C94:C94)</f>
        <v>-491224.66000000003</v>
      </c>
      <c r="D96" s="114">
        <f>+SUM(D6:D9)+SUM(D15:D21)+SUM(D25:D31)+SUM(D35:D44)+SUM(D48:D51)+SUM(D55:D67)+SUM(D69:D70)+SUM(D73:D77)+SUM(D81:D90)+SUM(D94:D94)</f>
        <v>-301441.54</v>
      </c>
      <c r="E96" s="114">
        <f>D96-C96</f>
        <v>189783.12000000005</v>
      </c>
    </row>
    <row r="97" spans="1:5" ht="12.75">
      <c r="A97" s="66"/>
      <c r="B97" s="66"/>
      <c r="C97" s="66"/>
      <c r="D97" s="66"/>
      <c r="E97" s="66"/>
    </row>
    <row r="98" spans="1:5" ht="14.25">
      <c r="A98" s="66"/>
      <c r="B98" s="127" t="s">
        <v>117</v>
      </c>
      <c r="C98" s="66"/>
      <c r="D98" s="66"/>
      <c r="E98" s="66"/>
    </row>
    <row r="99" spans="1:5" ht="12.75">
      <c r="A99" s="67">
        <v>2210</v>
      </c>
      <c r="B99" s="66" t="s">
        <v>51</v>
      </c>
      <c r="C99" s="68">
        <v>41966.28</v>
      </c>
      <c r="D99" s="68">
        <v>20983.14</v>
      </c>
      <c r="E99" s="68">
        <f>D99-C99</f>
        <v>-20983.14</v>
      </c>
    </row>
    <row r="100" spans="1:5" ht="12.75">
      <c r="A100" s="67">
        <v>2220</v>
      </c>
      <c r="B100" s="66" t="s">
        <v>7</v>
      </c>
      <c r="C100" s="68">
        <v>38000</v>
      </c>
      <c r="D100" s="68">
        <v>28655.12</v>
      </c>
      <c r="E100" s="68">
        <f>D100-C100</f>
        <v>-9344.880000000001</v>
      </c>
    </row>
    <row r="101" spans="1:5" ht="12.75">
      <c r="A101" s="66"/>
      <c r="B101" s="66"/>
      <c r="C101" s="66"/>
      <c r="D101" s="66"/>
      <c r="E101" s="66"/>
    </row>
    <row r="102" spans="1:5" ht="14.25">
      <c r="A102" s="66"/>
      <c r="B102" s="127" t="s">
        <v>257</v>
      </c>
      <c r="C102" s="66"/>
      <c r="D102" s="66"/>
      <c r="E102" s="66"/>
    </row>
    <row r="103" spans="1:5" ht="12.75">
      <c r="A103" s="67">
        <v>2231</v>
      </c>
      <c r="B103" s="66" t="s">
        <v>268</v>
      </c>
      <c r="C103" s="68">
        <v>29275.35</v>
      </c>
      <c r="D103" s="68">
        <v>9758.46</v>
      </c>
      <c r="E103" s="68">
        <f aca="true" t="shared" si="6" ref="E103:E108">D103-C103</f>
        <v>-19516.89</v>
      </c>
    </row>
    <row r="104" spans="1:5" ht="12.75">
      <c r="A104" s="67">
        <v>2232</v>
      </c>
      <c r="B104" s="66" t="s">
        <v>262</v>
      </c>
      <c r="C104" s="68">
        <v>10039.43</v>
      </c>
      <c r="D104" s="68">
        <v>3346.48</v>
      </c>
      <c r="E104" s="68">
        <f t="shared" si="6"/>
        <v>-6692.950000000001</v>
      </c>
    </row>
    <row r="105" spans="1:5" ht="12.75">
      <c r="A105" s="67">
        <v>2233</v>
      </c>
      <c r="B105" s="66" t="s">
        <v>263</v>
      </c>
      <c r="C105" s="68">
        <v>172513.29</v>
      </c>
      <c r="D105" s="68">
        <v>57504.44</v>
      </c>
      <c r="E105" s="68">
        <f t="shared" si="6"/>
        <v>-115008.85</v>
      </c>
    </row>
    <row r="106" spans="1:5" ht="12.75">
      <c r="A106" s="67">
        <v>2234</v>
      </c>
      <c r="B106" s="66" t="s">
        <v>206</v>
      </c>
      <c r="C106" s="68">
        <v>6442.72</v>
      </c>
      <c r="D106" s="68">
        <v>2147.58</v>
      </c>
      <c r="E106" s="68">
        <f t="shared" si="6"/>
        <v>-4295.14</v>
      </c>
    </row>
    <row r="107" spans="1:5" ht="12.75">
      <c r="A107" s="67">
        <v>2235</v>
      </c>
      <c r="B107" s="66" t="s">
        <v>52</v>
      </c>
      <c r="C107" s="68">
        <v>7855</v>
      </c>
      <c r="D107" s="68">
        <v>2334</v>
      </c>
      <c r="E107" s="68">
        <f t="shared" si="6"/>
        <v>-5521</v>
      </c>
    </row>
    <row r="108" spans="1:5" ht="14.25">
      <c r="A108" s="66"/>
      <c r="B108" s="127" t="s">
        <v>118</v>
      </c>
      <c r="C108" s="114">
        <f>+SUM(C103:C107)</f>
        <v>226125.79</v>
      </c>
      <c r="D108" s="114">
        <f>+SUM(D103:D107)</f>
        <v>75090.96</v>
      </c>
      <c r="E108" s="114">
        <f t="shared" si="6"/>
        <v>-151034.83000000002</v>
      </c>
    </row>
    <row r="109" spans="1:5" ht="12.75">
      <c r="A109" s="66"/>
      <c r="B109" s="66"/>
      <c r="C109" s="66"/>
      <c r="D109" s="66"/>
      <c r="E109" s="66"/>
    </row>
    <row r="110" spans="1:5" ht="14.25">
      <c r="A110" s="66"/>
      <c r="B110" s="127" t="s">
        <v>8</v>
      </c>
      <c r="C110" s="66"/>
      <c r="D110" s="66"/>
      <c r="E110" s="66"/>
    </row>
    <row r="111" spans="1:5" ht="12.75">
      <c r="A111" s="67">
        <v>2251</v>
      </c>
      <c r="B111" s="66" t="s">
        <v>270</v>
      </c>
      <c r="C111" s="68">
        <v>2000</v>
      </c>
      <c r="D111" s="68">
        <v>150</v>
      </c>
      <c r="E111" s="68">
        <f>D111-C111</f>
        <v>-1850</v>
      </c>
    </row>
    <row r="112" spans="1:5" ht="12.75">
      <c r="A112" s="67">
        <v>2255</v>
      </c>
      <c r="B112" s="66" t="s">
        <v>199</v>
      </c>
      <c r="C112" s="68">
        <v>0</v>
      </c>
      <c r="D112" s="68">
        <v>0</v>
      </c>
      <c r="E112" s="68">
        <f>D112-C112</f>
        <v>0</v>
      </c>
    </row>
    <row r="113" spans="1:5" ht="12.75">
      <c r="A113" s="67">
        <v>2256</v>
      </c>
      <c r="B113" s="66" t="s">
        <v>200</v>
      </c>
      <c r="C113" s="68">
        <v>0</v>
      </c>
      <c r="D113" s="68">
        <v>0</v>
      </c>
      <c r="E113" s="68">
        <f>D113-C113</f>
        <v>0</v>
      </c>
    </row>
    <row r="114" spans="1:5" ht="12.75">
      <c r="A114" s="67">
        <v>2258</v>
      </c>
      <c r="B114" s="66" t="s">
        <v>53</v>
      </c>
      <c r="C114" s="68">
        <v>0</v>
      </c>
      <c r="D114" s="68">
        <v>0</v>
      </c>
      <c r="E114" s="68">
        <f>D114-C114</f>
        <v>0</v>
      </c>
    </row>
    <row r="115" spans="1:5" ht="14.25">
      <c r="A115" s="66"/>
      <c r="B115" s="127" t="s">
        <v>119</v>
      </c>
      <c r="C115" s="114">
        <f>+SUM(C111:C114)</f>
        <v>2000</v>
      </c>
      <c r="D115" s="114">
        <f>+SUM(D111:D114)</f>
        <v>150</v>
      </c>
      <c r="E115" s="114">
        <f>D115-C115</f>
        <v>-1850</v>
      </c>
    </row>
    <row r="116" spans="1:5" ht="12.75">
      <c r="A116" s="66"/>
      <c r="B116" s="66"/>
      <c r="C116" s="66"/>
      <c r="D116" s="66"/>
      <c r="E116" s="66"/>
    </row>
    <row r="117" spans="1:5" ht="14.25">
      <c r="A117" s="66"/>
      <c r="B117" s="127" t="s">
        <v>219</v>
      </c>
      <c r="C117" s="66"/>
      <c r="D117" s="66"/>
      <c r="E117" s="66"/>
    </row>
    <row r="118" spans="1:5" ht="12.75">
      <c r="A118" s="67">
        <v>2261</v>
      </c>
      <c r="B118" s="66" t="s">
        <v>15</v>
      </c>
      <c r="C118" s="68">
        <v>10900</v>
      </c>
      <c r="D118" s="68">
        <v>3676.52</v>
      </c>
      <c r="E118" s="68">
        <f aca="true" t="shared" si="7" ref="E118:E123">D118-C118</f>
        <v>-7223.48</v>
      </c>
    </row>
    <row r="119" spans="1:5" ht="12.75">
      <c r="A119" s="67">
        <v>2262</v>
      </c>
      <c r="B119" s="66" t="s">
        <v>54</v>
      </c>
      <c r="C119" s="68">
        <v>63200</v>
      </c>
      <c r="D119" s="68">
        <v>15981.05</v>
      </c>
      <c r="E119" s="68">
        <f t="shared" si="7"/>
        <v>-47218.95</v>
      </c>
    </row>
    <row r="120" spans="1:5" ht="12.75">
      <c r="A120" s="67">
        <v>2263</v>
      </c>
      <c r="B120" s="66" t="s">
        <v>55</v>
      </c>
      <c r="C120" s="68">
        <v>44000</v>
      </c>
      <c r="D120" s="68">
        <v>12756</v>
      </c>
      <c r="E120" s="68">
        <f t="shared" si="7"/>
        <v>-31244</v>
      </c>
    </row>
    <row r="121" spans="1:5" ht="12.75">
      <c r="A121" s="67">
        <v>2264</v>
      </c>
      <c r="B121" s="66" t="s">
        <v>56</v>
      </c>
      <c r="C121" s="68">
        <v>19200</v>
      </c>
      <c r="D121" s="68">
        <v>6829</v>
      </c>
      <c r="E121" s="68">
        <f t="shared" si="7"/>
        <v>-12371</v>
      </c>
    </row>
    <row r="122" spans="1:5" ht="12.75">
      <c r="A122" s="67">
        <v>2265</v>
      </c>
      <c r="B122" s="66" t="s">
        <v>194</v>
      </c>
      <c r="C122" s="68">
        <v>3000</v>
      </c>
      <c r="D122" s="68">
        <v>400</v>
      </c>
      <c r="E122" s="68">
        <f t="shared" si="7"/>
        <v>-2600</v>
      </c>
    </row>
    <row r="123" spans="1:5" ht="14.25">
      <c r="A123" s="66"/>
      <c r="B123" s="127" t="s">
        <v>220</v>
      </c>
      <c r="C123" s="114">
        <f>+SUM(C118:C122)</f>
        <v>140300</v>
      </c>
      <c r="D123" s="114">
        <f>+SUM(D118:D122)</f>
        <v>39642.57</v>
      </c>
      <c r="E123" s="114">
        <f t="shared" si="7"/>
        <v>-100657.43</v>
      </c>
    </row>
    <row r="124" spans="1:5" ht="12.75">
      <c r="A124" s="66"/>
      <c r="B124" s="66"/>
      <c r="C124" s="66"/>
      <c r="D124" s="66"/>
      <c r="E124" s="66"/>
    </row>
    <row r="125" spans="1:5" ht="14.25">
      <c r="A125" s="66"/>
      <c r="B125" s="127" t="s">
        <v>10</v>
      </c>
      <c r="C125" s="66"/>
      <c r="D125" s="66"/>
      <c r="E125" s="66"/>
    </row>
    <row r="126" spans="1:5" ht="12.75">
      <c r="A126" s="67">
        <v>2271</v>
      </c>
      <c r="B126" s="66" t="s">
        <v>57</v>
      </c>
      <c r="C126" s="68">
        <v>3500</v>
      </c>
      <c r="D126" s="68">
        <v>0</v>
      </c>
      <c r="E126" s="68">
        <f>D126-C126</f>
        <v>-3500</v>
      </c>
    </row>
    <row r="127" spans="1:5" ht="12.75">
      <c r="A127" s="67">
        <v>2272</v>
      </c>
      <c r="B127" s="66" t="s">
        <v>58</v>
      </c>
      <c r="C127" s="68">
        <v>1500</v>
      </c>
      <c r="D127" s="68">
        <v>921</v>
      </c>
      <c r="E127" s="68">
        <f>D127-C127</f>
        <v>-579</v>
      </c>
    </row>
    <row r="128" spans="1:5" ht="12.75">
      <c r="A128" s="67">
        <v>2273</v>
      </c>
      <c r="B128" s="66" t="s">
        <v>59</v>
      </c>
      <c r="C128" s="68">
        <v>5500</v>
      </c>
      <c r="D128" s="68">
        <v>2718.75</v>
      </c>
      <c r="E128" s="68">
        <f>D128-C128</f>
        <v>-2781.25</v>
      </c>
    </row>
    <row r="129" spans="1:5" ht="14.25">
      <c r="A129" s="66"/>
      <c r="B129" s="127" t="s">
        <v>120</v>
      </c>
      <c r="C129" s="114">
        <f>+SUM(C126:C128)</f>
        <v>10500</v>
      </c>
      <c r="D129" s="114">
        <f>+SUM(D126:D128)</f>
        <v>3639.75</v>
      </c>
      <c r="E129" s="114">
        <f>D129-C129</f>
        <v>-6860.25</v>
      </c>
    </row>
    <row r="130" spans="1:5" ht="12.75">
      <c r="A130" s="66"/>
      <c r="B130" s="66"/>
      <c r="C130" s="66"/>
      <c r="D130" s="66"/>
      <c r="E130" s="66"/>
    </row>
    <row r="131" spans="1:5" ht="14.25">
      <c r="A131" s="66"/>
      <c r="B131" s="127" t="s">
        <v>9</v>
      </c>
      <c r="C131" s="66"/>
      <c r="D131" s="66"/>
      <c r="E131" s="66"/>
    </row>
    <row r="132" spans="1:5" ht="12.75">
      <c r="A132" s="67">
        <v>2282</v>
      </c>
      <c r="B132" s="66" t="s">
        <v>60</v>
      </c>
      <c r="C132" s="68">
        <v>21625</v>
      </c>
      <c r="D132" s="68">
        <v>21625</v>
      </c>
      <c r="E132" s="68">
        <f>D132-C132</f>
        <v>0</v>
      </c>
    </row>
    <row r="133" spans="1:5" ht="12.75">
      <c r="A133" s="67">
        <v>2284</v>
      </c>
      <c r="B133" s="66" t="s">
        <v>61</v>
      </c>
      <c r="C133" s="68">
        <v>8500</v>
      </c>
      <c r="D133" s="68">
        <v>0</v>
      </c>
      <c r="E133" s="68">
        <f>D133-C133</f>
        <v>-8500</v>
      </c>
    </row>
    <row r="134" spans="1:5" ht="14.25">
      <c r="A134" s="66"/>
      <c r="B134" s="127" t="s">
        <v>121</v>
      </c>
      <c r="C134" s="114">
        <f>+SUM(C132:C133)</f>
        <v>30125</v>
      </c>
      <c r="D134" s="114">
        <f>+SUM(D132:D133)</f>
        <v>21625</v>
      </c>
      <c r="E134" s="114">
        <f>D134-C134</f>
        <v>-8500</v>
      </c>
    </row>
    <row r="135" spans="1:5" ht="12.75">
      <c r="A135" s="66"/>
      <c r="B135" s="66"/>
      <c r="C135" s="66"/>
      <c r="D135" s="66"/>
      <c r="E135" s="66"/>
    </row>
    <row r="136" spans="1:5" ht="14.25">
      <c r="A136" s="66"/>
      <c r="B136" s="127" t="s">
        <v>11</v>
      </c>
      <c r="C136" s="66"/>
      <c r="D136" s="66"/>
      <c r="E136" s="66"/>
    </row>
    <row r="137" spans="1:5" ht="12.75">
      <c r="A137" s="67">
        <v>2292</v>
      </c>
      <c r="B137" s="66" t="s">
        <v>62</v>
      </c>
      <c r="C137" s="68">
        <v>0</v>
      </c>
      <c r="D137" s="68">
        <v>0</v>
      </c>
      <c r="E137" s="68">
        <f aca="true" t="shared" si="8" ref="E137:E144">D137-C137</f>
        <v>0</v>
      </c>
    </row>
    <row r="138" spans="1:5" ht="12.75">
      <c r="A138" s="67">
        <v>2293</v>
      </c>
      <c r="B138" s="66" t="s">
        <v>221</v>
      </c>
      <c r="C138" s="68">
        <v>0</v>
      </c>
      <c r="D138" s="68">
        <v>0</v>
      </c>
      <c r="E138" s="68">
        <f t="shared" si="8"/>
        <v>0</v>
      </c>
    </row>
    <row r="139" spans="1:5" ht="12.75">
      <c r="A139" s="67">
        <v>2294</v>
      </c>
      <c r="B139" s="66" t="s">
        <v>63</v>
      </c>
      <c r="C139" s="68">
        <v>84</v>
      </c>
      <c r="D139" s="68">
        <v>28</v>
      </c>
      <c r="E139" s="68">
        <f t="shared" si="8"/>
        <v>-56</v>
      </c>
    </row>
    <row r="140" spans="1:5" ht="12.75">
      <c r="A140" s="67">
        <v>2295</v>
      </c>
      <c r="B140" s="66" t="s">
        <v>64</v>
      </c>
      <c r="C140" s="68">
        <v>2000</v>
      </c>
      <c r="D140" s="68">
        <v>0</v>
      </c>
      <c r="E140" s="68">
        <f t="shared" si="8"/>
        <v>-2000</v>
      </c>
    </row>
    <row r="141" spans="1:5" ht="14.25">
      <c r="A141" s="66"/>
      <c r="B141" s="127" t="s">
        <v>122</v>
      </c>
      <c r="C141" s="114">
        <f>+SUM(C137:C140)</f>
        <v>2084</v>
      </c>
      <c r="D141" s="114">
        <f>+SUM(D137:D140)</f>
        <v>28</v>
      </c>
      <c r="E141" s="114">
        <f t="shared" si="8"/>
        <v>-2056</v>
      </c>
    </row>
    <row r="142" spans="1:5" ht="14.25">
      <c r="A142" s="66"/>
      <c r="B142" s="127" t="s">
        <v>123</v>
      </c>
      <c r="C142" s="114">
        <f>+SUM(C99:C100)+SUM(C103:C107)+SUM(C111:C114)+SUM(C118:C122)+SUM(C126:C128)+SUM(C132:C133)+SUM(C137:C140)</f>
        <v>491101.07</v>
      </c>
      <c r="D142" s="114">
        <f>+SUM(D99:D100)+SUM(D103:D107)+SUM(D111:D114)+SUM(D118:D122)+SUM(D126:D128)+SUM(D132:D133)+SUM(D137:D140)</f>
        <v>189814.54</v>
      </c>
      <c r="E142" s="114">
        <f t="shared" si="8"/>
        <v>-301286.53</v>
      </c>
    </row>
    <row r="143" spans="1:5" ht="14.25">
      <c r="A143" s="66"/>
      <c r="B143" s="127" t="s">
        <v>124</v>
      </c>
      <c r="C143" s="114">
        <f>+SUM(C15:C21)+SUM(C25:C31)+SUM(C35:C44)+SUM(C48:C51)+SUM(C55:C67)+SUM(C69:C70)+SUM(C73:C77)+SUM(C81:C90)+SUM(C94:C94)+SUM(C99:C100)+SUM(C103:C107)+SUM(C111:C114)+SUM(C118:C122)+SUM(C126:C128)+SUM(C132:C133)+SUM(C137:C140)</f>
        <v>826132.41</v>
      </c>
      <c r="D143" s="114">
        <f>+SUM(D15:D21)+SUM(D25:D31)+SUM(D35:D44)+SUM(D48:D51)+SUM(D55:D67)+SUM(D69:D70)+SUM(D73:D77)+SUM(D81:D90)+SUM(D94:D94)+SUM(D99:D100)+SUM(D103:D107)+SUM(D111:D114)+SUM(D118:D122)+SUM(D126:D128)+SUM(D132:D133)+SUM(D137:D140)</f>
        <v>163825</v>
      </c>
      <c r="E143" s="114">
        <f t="shared" si="8"/>
        <v>-662307.41</v>
      </c>
    </row>
    <row r="144" spans="1:5" ht="14.25">
      <c r="A144" s="66"/>
      <c r="B144" s="127" t="s">
        <v>222</v>
      </c>
      <c r="C144" s="114">
        <f>+SUM(C6:C9)+SUM(C15:C21)+SUM(C25:C31)+SUM(C35:C44)+SUM(C48:C51)+SUM(C55:C67)+SUM(C69:C70)+SUM(C73:C77)+SUM(C81:C90)+SUM(C94:C94)+SUM(C99:C100)+SUM(C103:C107)+SUM(C111:C114)+SUM(C118:C122)+SUM(C126:C128)+SUM(C132:C133)+SUM(C137:C140)</f>
        <v>-123.58999999999651</v>
      </c>
      <c r="D144" s="114">
        <f>+SUM(D6:D9)+SUM(D15:D21)+SUM(D25:D31)+SUM(D35:D44)+SUM(D48:D51)+SUM(D55:D67)+SUM(D69:D70)+SUM(D73:D77)+SUM(D81:D90)+SUM(D94:D94)+SUM(D99:D100)+SUM(D103:D107)+SUM(D111:D114)+SUM(D118:D122)+SUM(D126:D128)+SUM(D132:D133)+SUM(D137:D140)</f>
        <v>-111626.99999999994</v>
      </c>
      <c r="E144" s="114">
        <f t="shared" si="8"/>
        <v>-111503.40999999995</v>
      </c>
    </row>
    <row r="145" spans="1:5" ht="12.75">
      <c r="A145" s="66"/>
      <c r="B145" s="66"/>
      <c r="C145" s="66"/>
      <c r="D145" s="66"/>
      <c r="E145" s="66"/>
    </row>
    <row r="146" spans="1:5" ht="14.25">
      <c r="A146" s="66"/>
      <c r="B146" s="127" t="s">
        <v>125</v>
      </c>
      <c r="C146" s="66"/>
      <c r="D146" s="66"/>
      <c r="E146" s="66"/>
    </row>
    <row r="147" spans="1:5" ht="12.75">
      <c r="A147" s="66"/>
      <c r="B147" s="66"/>
      <c r="C147" s="66"/>
      <c r="D147" s="66"/>
      <c r="E147" s="66"/>
    </row>
    <row r="148" spans="1:5" ht="14.25">
      <c r="A148" s="66"/>
      <c r="B148" s="127" t="s">
        <v>72</v>
      </c>
      <c r="C148" s="66"/>
      <c r="D148" s="66"/>
      <c r="E148" s="66"/>
    </row>
    <row r="149" spans="1:5" ht="12.75">
      <c r="A149" s="67">
        <v>3110</v>
      </c>
      <c r="B149" s="66" t="s">
        <v>65</v>
      </c>
      <c r="C149" s="68">
        <v>0</v>
      </c>
      <c r="D149" s="68">
        <v>-6600</v>
      </c>
      <c r="E149" s="68">
        <f aca="true" t="shared" si="9" ref="E149:E156">D149-C149</f>
        <v>-6600</v>
      </c>
    </row>
    <row r="150" spans="1:5" ht="12.75">
      <c r="A150" s="67">
        <v>3120</v>
      </c>
      <c r="B150" s="66" t="s">
        <v>66</v>
      </c>
      <c r="C150" s="68">
        <v>0</v>
      </c>
      <c r="D150" s="68">
        <v>-400</v>
      </c>
      <c r="E150" s="68">
        <f t="shared" si="9"/>
        <v>-400</v>
      </c>
    </row>
    <row r="151" spans="1:5" ht="12.75">
      <c r="A151" s="67">
        <v>3140</v>
      </c>
      <c r="B151" s="66" t="s">
        <v>67</v>
      </c>
      <c r="C151" s="68">
        <v>0</v>
      </c>
      <c r="D151" s="68">
        <v>3489.23</v>
      </c>
      <c r="E151" s="68">
        <f t="shared" si="9"/>
        <v>3489.23</v>
      </c>
    </row>
    <row r="152" spans="1:5" ht="12.75">
      <c r="A152" s="67">
        <v>3150</v>
      </c>
      <c r="B152" s="66" t="s">
        <v>54</v>
      </c>
      <c r="C152" s="68">
        <v>0</v>
      </c>
      <c r="D152" s="68">
        <v>0</v>
      </c>
      <c r="E152" s="68">
        <f t="shared" si="9"/>
        <v>0</v>
      </c>
    </row>
    <row r="153" spans="1:5" ht="12.75">
      <c r="A153" s="67">
        <v>3160</v>
      </c>
      <c r="B153" s="66" t="s">
        <v>68</v>
      </c>
      <c r="C153" s="68">
        <v>0</v>
      </c>
      <c r="D153" s="68">
        <v>0</v>
      </c>
      <c r="E153" s="68">
        <f t="shared" si="9"/>
        <v>0</v>
      </c>
    </row>
    <row r="154" spans="1:5" ht="12.75">
      <c r="A154" s="67">
        <v>3170</v>
      </c>
      <c r="B154" s="66" t="s">
        <v>56</v>
      </c>
      <c r="C154" s="68">
        <v>0</v>
      </c>
      <c r="D154" s="68">
        <v>482</v>
      </c>
      <c r="E154" s="68">
        <f t="shared" si="9"/>
        <v>482</v>
      </c>
    </row>
    <row r="155" spans="1:5" ht="12.75">
      <c r="A155" s="67">
        <v>3180</v>
      </c>
      <c r="B155" s="66" t="s">
        <v>69</v>
      </c>
      <c r="C155" s="68">
        <v>0</v>
      </c>
      <c r="D155" s="68">
        <v>480.38</v>
      </c>
      <c r="E155" s="68">
        <f t="shared" si="9"/>
        <v>480.38</v>
      </c>
    </row>
    <row r="156" spans="1:5" ht="14.25">
      <c r="A156" s="66"/>
      <c r="B156" s="127" t="s">
        <v>126</v>
      </c>
      <c r="C156" s="114">
        <f>+SUM(C149:C155)</f>
        <v>0</v>
      </c>
      <c r="D156" s="114">
        <f>+SUM(D149:D155)</f>
        <v>-2548.39</v>
      </c>
      <c r="E156" s="114">
        <f t="shared" si="9"/>
        <v>-2548.39</v>
      </c>
    </row>
    <row r="157" spans="1:5" ht="12.75">
      <c r="A157" s="66"/>
      <c r="B157" s="66"/>
      <c r="C157" s="66"/>
      <c r="D157" s="66"/>
      <c r="E157" s="66"/>
    </row>
    <row r="158" spans="1:5" ht="14.25">
      <c r="A158" s="66"/>
      <c r="B158" s="127" t="s">
        <v>56</v>
      </c>
      <c r="C158" s="66"/>
      <c r="D158" s="66"/>
      <c r="E158" s="66"/>
    </row>
    <row r="159" spans="1:5" ht="12.75">
      <c r="A159" s="67">
        <v>3210</v>
      </c>
      <c r="B159" s="66" t="s">
        <v>70</v>
      </c>
      <c r="C159" s="68">
        <v>0</v>
      </c>
      <c r="D159" s="68">
        <v>-47807</v>
      </c>
      <c r="E159" s="68">
        <f>D159-C159</f>
        <v>-47807</v>
      </c>
    </row>
    <row r="160" spans="1:5" ht="12.75">
      <c r="A160" s="67">
        <v>3220</v>
      </c>
      <c r="B160" s="66" t="s">
        <v>71</v>
      </c>
      <c r="C160" s="68">
        <v>0</v>
      </c>
      <c r="D160" s="68">
        <v>-6829</v>
      </c>
      <c r="E160" s="68">
        <f>D160-C160</f>
        <v>-6829</v>
      </c>
    </row>
    <row r="161" spans="1:5" ht="12.75">
      <c r="A161" s="67">
        <v>3230</v>
      </c>
      <c r="B161" s="66" t="s">
        <v>223</v>
      </c>
      <c r="C161" s="68">
        <v>0</v>
      </c>
      <c r="D161" s="68">
        <v>-482</v>
      </c>
      <c r="E161" s="68">
        <f>D161-C161</f>
        <v>-482</v>
      </c>
    </row>
    <row r="162" spans="1:5" ht="12.75">
      <c r="A162" s="67">
        <v>3240</v>
      </c>
      <c r="B162" s="66" t="s">
        <v>73</v>
      </c>
      <c r="C162" s="68">
        <v>0</v>
      </c>
      <c r="D162" s="68">
        <v>85291.24</v>
      </c>
      <c r="E162" s="68">
        <f>D162-C162</f>
        <v>85291.24</v>
      </c>
    </row>
    <row r="163" spans="1:5" ht="14.25">
      <c r="A163" s="66"/>
      <c r="B163" s="127" t="s">
        <v>127</v>
      </c>
      <c r="C163" s="114">
        <f>+SUM(C159:C162)</f>
        <v>0</v>
      </c>
      <c r="D163" s="114">
        <f>+SUM(D159:D162)</f>
        <v>30173.240000000005</v>
      </c>
      <c r="E163" s="114">
        <f>D163-C163</f>
        <v>30173.240000000005</v>
      </c>
    </row>
    <row r="164" spans="1:5" ht="12.75">
      <c r="A164" s="66"/>
      <c r="B164" s="66"/>
      <c r="C164" s="66"/>
      <c r="D164" s="66"/>
      <c r="E164" s="66"/>
    </row>
    <row r="165" spans="1:5" ht="14.25">
      <c r="A165" s="66"/>
      <c r="B165" s="127" t="s">
        <v>188</v>
      </c>
      <c r="C165" s="66"/>
      <c r="D165" s="66"/>
      <c r="E165" s="66"/>
    </row>
    <row r="166" spans="1:5" ht="12.75">
      <c r="A166" s="67">
        <v>3310</v>
      </c>
      <c r="B166" s="66" t="s">
        <v>74</v>
      </c>
      <c r="C166" s="68">
        <v>0</v>
      </c>
      <c r="D166" s="68">
        <v>-108250</v>
      </c>
      <c r="E166" s="68">
        <f>D166-C166</f>
        <v>-108250</v>
      </c>
    </row>
    <row r="167" spans="1:5" ht="12.75">
      <c r="A167" s="67">
        <v>3320</v>
      </c>
      <c r="B167" s="66" t="s">
        <v>75</v>
      </c>
      <c r="C167" s="68">
        <v>0</v>
      </c>
      <c r="D167" s="68">
        <v>-12756</v>
      </c>
      <c r="E167" s="68">
        <f>D167-C167</f>
        <v>-12756</v>
      </c>
    </row>
    <row r="168" spans="1:5" ht="12.75">
      <c r="A168" s="67">
        <v>3330</v>
      </c>
      <c r="B168" s="66" t="s">
        <v>76</v>
      </c>
      <c r="C168" s="68">
        <v>0</v>
      </c>
      <c r="D168" s="68">
        <v>0</v>
      </c>
      <c r="E168" s="68">
        <f>D168-C168</f>
        <v>0</v>
      </c>
    </row>
    <row r="169" spans="1:5" ht="12.75">
      <c r="A169" s="67">
        <v>3340</v>
      </c>
      <c r="B169" s="66" t="s">
        <v>77</v>
      </c>
      <c r="C169" s="68">
        <v>0</v>
      </c>
      <c r="D169" s="68">
        <v>195470.63</v>
      </c>
      <c r="E169" s="68">
        <f>D169-C169</f>
        <v>195470.63</v>
      </c>
    </row>
    <row r="170" spans="1:5" ht="14.25">
      <c r="A170" s="66"/>
      <c r="B170" s="127" t="s">
        <v>128</v>
      </c>
      <c r="C170" s="114">
        <f>+SUM(C166:C169)</f>
        <v>0</v>
      </c>
      <c r="D170" s="114">
        <f>+SUM(D166:D169)</f>
        <v>74464.63</v>
      </c>
      <c r="E170" s="114">
        <f>D170-C170</f>
        <v>74464.63</v>
      </c>
    </row>
    <row r="171" spans="1:5" ht="12.75">
      <c r="A171" s="66"/>
      <c r="B171" s="66"/>
      <c r="C171" s="66"/>
      <c r="D171" s="66"/>
      <c r="E171" s="66"/>
    </row>
    <row r="172" spans="1:5" ht="14.25">
      <c r="A172" s="66"/>
      <c r="B172" s="127" t="s">
        <v>15</v>
      </c>
      <c r="C172" s="66"/>
      <c r="D172" s="66"/>
      <c r="E172" s="66"/>
    </row>
    <row r="173" spans="1:5" ht="12.75">
      <c r="A173" s="67">
        <v>3410</v>
      </c>
      <c r="B173" s="66" t="s">
        <v>78</v>
      </c>
      <c r="C173" s="68">
        <v>0</v>
      </c>
      <c r="D173" s="68">
        <v>-19175</v>
      </c>
      <c r="E173" s="68">
        <f>D173-C173</f>
        <v>-19175</v>
      </c>
    </row>
    <row r="174" spans="1:5" ht="12.75">
      <c r="A174" s="67">
        <v>3420</v>
      </c>
      <c r="B174" s="66" t="s">
        <v>79</v>
      </c>
      <c r="C174" s="68">
        <v>0</v>
      </c>
      <c r="D174" s="68">
        <v>-2634</v>
      </c>
      <c r="E174" s="68">
        <f>D174-C174</f>
        <v>-2634</v>
      </c>
    </row>
    <row r="175" spans="1:5" ht="12.75">
      <c r="A175" s="67">
        <v>3430</v>
      </c>
      <c r="B175" s="66" t="s">
        <v>80</v>
      </c>
      <c r="C175" s="68">
        <v>0</v>
      </c>
      <c r="D175" s="68">
        <v>32656.15</v>
      </c>
      <c r="E175" s="68">
        <f>D175-C175</f>
        <v>32656.15</v>
      </c>
    </row>
    <row r="176" spans="1:5" ht="14.25">
      <c r="A176" s="66"/>
      <c r="B176" s="127" t="s">
        <v>129</v>
      </c>
      <c r="C176" s="114">
        <f>+SUM(C173:C175)</f>
        <v>0</v>
      </c>
      <c r="D176" s="114">
        <f>+SUM(D173:D175)</f>
        <v>10847.150000000001</v>
      </c>
      <c r="E176" s="114">
        <f>D176-C176</f>
        <v>10847.150000000001</v>
      </c>
    </row>
    <row r="177" spans="1:5" ht="12.75">
      <c r="A177" s="66"/>
      <c r="B177" s="66"/>
      <c r="C177" s="66"/>
      <c r="D177" s="66"/>
      <c r="E177" s="66"/>
    </row>
    <row r="178" spans="1:5" ht="14.25">
      <c r="A178" s="66"/>
      <c r="B178" s="127" t="s">
        <v>12</v>
      </c>
      <c r="C178" s="66"/>
      <c r="D178" s="66"/>
      <c r="E178" s="66"/>
    </row>
    <row r="179" spans="1:5" ht="12.75">
      <c r="A179" s="67">
        <v>3510</v>
      </c>
      <c r="B179" s="66" t="s">
        <v>81</v>
      </c>
      <c r="C179" s="68">
        <v>0</v>
      </c>
      <c r="D179" s="68">
        <v>-24754</v>
      </c>
      <c r="E179" s="68">
        <f>D179-C179</f>
        <v>-24754</v>
      </c>
    </row>
    <row r="180" spans="1:5" ht="12.75">
      <c r="A180" s="67">
        <v>3520</v>
      </c>
      <c r="B180" s="66" t="s">
        <v>82</v>
      </c>
      <c r="C180" s="68">
        <v>0</v>
      </c>
      <c r="D180" s="68">
        <v>-1318</v>
      </c>
      <c r="E180" s="68">
        <f>D180-C180</f>
        <v>-1318</v>
      </c>
    </row>
    <row r="181" spans="1:5" ht="12.75">
      <c r="A181" s="67">
        <v>3530</v>
      </c>
      <c r="B181" s="66" t="s">
        <v>83</v>
      </c>
      <c r="C181" s="68">
        <v>0</v>
      </c>
      <c r="D181" s="68">
        <v>34999.66</v>
      </c>
      <c r="E181" s="68">
        <f>D181-C181</f>
        <v>34999.66</v>
      </c>
    </row>
    <row r="182" spans="1:5" ht="14.25">
      <c r="A182" s="66"/>
      <c r="B182" s="127" t="s">
        <v>130</v>
      </c>
      <c r="C182" s="114">
        <f>+SUM(C179:C181)</f>
        <v>0</v>
      </c>
      <c r="D182" s="114">
        <f>+SUM(D179:D181)</f>
        <v>8927.660000000003</v>
      </c>
      <c r="E182" s="114">
        <f>D182-C182</f>
        <v>8927.660000000003</v>
      </c>
    </row>
    <row r="183" spans="1:5" ht="12.75">
      <c r="A183" s="66"/>
      <c r="B183" s="66"/>
      <c r="C183" s="66"/>
      <c r="D183" s="66"/>
      <c r="E183" s="66"/>
    </row>
    <row r="184" spans="1:5" ht="14.25">
      <c r="A184" s="66"/>
      <c r="B184" s="127" t="s">
        <v>5</v>
      </c>
      <c r="C184" s="66"/>
      <c r="D184" s="66"/>
      <c r="E184" s="66"/>
    </row>
    <row r="185" spans="1:5" ht="12.75">
      <c r="A185" s="67">
        <v>3610</v>
      </c>
      <c r="B185" s="66" t="s">
        <v>84</v>
      </c>
      <c r="C185" s="68">
        <v>0</v>
      </c>
      <c r="D185" s="68">
        <v>-2300</v>
      </c>
      <c r="E185" s="68">
        <f>D185-C185</f>
        <v>-2300</v>
      </c>
    </row>
    <row r="186" spans="1:5" ht="12.75">
      <c r="A186" s="67">
        <v>3620</v>
      </c>
      <c r="B186" s="66" t="s">
        <v>85</v>
      </c>
      <c r="C186" s="68">
        <v>0</v>
      </c>
      <c r="D186" s="68">
        <v>-1100</v>
      </c>
      <c r="E186" s="68">
        <f>D186-C186</f>
        <v>-1100</v>
      </c>
    </row>
    <row r="187" spans="1:5" ht="12.75">
      <c r="A187" s="67">
        <v>3625</v>
      </c>
      <c r="B187" s="66" t="s">
        <v>236</v>
      </c>
      <c r="C187" s="68">
        <v>0</v>
      </c>
      <c r="D187" s="68">
        <v>0</v>
      </c>
      <c r="E187" s="68">
        <f>D187-C187</f>
        <v>0</v>
      </c>
    </row>
    <row r="188" spans="1:5" ht="12.75">
      <c r="A188" s="67">
        <v>3630</v>
      </c>
      <c r="B188" s="66" t="s">
        <v>86</v>
      </c>
      <c r="C188" s="68">
        <v>0</v>
      </c>
      <c r="D188" s="68">
        <v>5761</v>
      </c>
      <c r="E188" s="68">
        <f>D188-C188</f>
        <v>5761</v>
      </c>
    </row>
    <row r="189" spans="1:5" ht="14.25">
      <c r="A189" s="66"/>
      <c r="B189" s="127" t="s">
        <v>131</v>
      </c>
      <c r="C189" s="114">
        <f>+SUM(C185:C188)</f>
        <v>0</v>
      </c>
      <c r="D189" s="114">
        <f>+SUM(D185:D188)</f>
        <v>2361</v>
      </c>
      <c r="E189" s="114">
        <f>D189-C189</f>
        <v>2361</v>
      </c>
    </row>
    <row r="190" spans="1:5" ht="12.75">
      <c r="A190" s="66"/>
      <c r="B190" s="66"/>
      <c r="C190" s="66"/>
      <c r="D190" s="66"/>
      <c r="E190" s="66"/>
    </row>
    <row r="191" spans="1:5" ht="14.25">
      <c r="A191" s="66"/>
      <c r="B191" s="127" t="s">
        <v>132</v>
      </c>
      <c r="C191" s="66"/>
      <c r="D191" s="66"/>
      <c r="E191" s="66"/>
    </row>
    <row r="192" spans="1:5" ht="12.75">
      <c r="A192" s="67">
        <v>3710</v>
      </c>
      <c r="B192" s="66" t="s">
        <v>87</v>
      </c>
      <c r="C192" s="68">
        <v>0</v>
      </c>
      <c r="D192" s="68">
        <v>0</v>
      </c>
      <c r="E192" s="68">
        <f>D192-C192</f>
        <v>0</v>
      </c>
    </row>
    <row r="193" spans="1:5" ht="12.75">
      <c r="A193" s="67">
        <v>3720</v>
      </c>
      <c r="B193" s="66" t="s">
        <v>88</v>
      </c>
      <c r="C193" s="68">
        <v>0</v>
      </c>
      <c r="D193" s="68">
        <v>0</v>
      </c>
      <c r="E193" s="68">
        <f>D193-C193</f>
        <v>0</v>
      </c>
    </row>
    <row r="194" spans="1:5" ht="14.25">
      <c r="A194" s="66"/>
      <c r="B194" s="127" t="s">
        <v>133</v>
      </c>
      <c r="C194" s="114">
        <f>+SUM(C192:C193)</f>
        <v>0</v>
      </c>
      <c r="D194" s="114">
        <f>+SUM(D192:D193)</f>
        <v>0</v>
      </c>
      <c r="E194" s="114">
        <f>D194-C194</f>
        <v>0</v>
      </c>
    </row>
    <row r="195" spans="1:5" ht="12.75">
      <c r="A195" s="66"/>
      <c r="B195" s="66"/>
      <c r="C195" s="66"/>
      <c r="D195" s="66"/>
      <c r="E195" s="66"/>
    </row>
    <row r="196" spans="1:5" ht="14.25">
      <c r="A196" s="66"/>
      <c r="B196" s="127" t="s">
        <v>208</v>
      </c>
      <c r="C196" s="66"/>
      <c r="D196" s="66"/>
      <c r="E196" s="66"/>
    </row>
    <row r="197" spans="1:5" ht="12.75">
      <c r="A197" s="67">
        <v>3910</v>
      </c>
      <c r="B197" s="66" t="s">
        <v>210</v>
      </c>
      <c r="C197" s="68">
        <v>0</v>
      </c>
      <c r="D197" s="68">
        <v>0</v>
      </c>
      <c r="E197" s="68">
        <f>D197-C197</f>
        <v>0</v>
      </c>
    </row>
    <row r="198" spans="1:5" ht="12.75">
      <c r="A198" s="67">
        <v>3920</v>
      </c>
      <c r="B198" s="66" t="s">
        <v>211</v>
      </c>
      <c r="C198" s="68">
        <v>0</v>
      </c>
      <c r="D198" s="68">
        <v>0</v>
      </c>
      <c r="E198" s="68">
        <f>D198-C198</f>
        <v>0</v>
      </c>
    </row>
    <row r="199" spans="1:5" ht="14.25">
      <c r="A199" s="66"/>
      <c r="B199" s="127" t="s">
        <v>212</v>
      </c>
      <c r="C199" s="114">
        <f>+SUM(C197:C198)</f>
        <v>0</v>
      </c>
      <c r="D199" s="114">
        <f>+SUM(D197:D198)</f>
        <v>0</v>
      </c>
      <c r="E199" s="114">
        <f>D199-C199</f>
        <v>0</v>
      </c>
    </row>
    <row r="200" spans="1:5" ht="14.25">
      <c r="A200" s="66"/>
      <c r="B200" s="127" t="s">
        <v>209</v>
      </c>
      <c r="C200" s="114">
        <f>+SUM(C149:C155)+SUM(C159:C162)+SUM(C166:C169)+SUM(C173:C175)+SUM(C179:C181)+SUM(C185:C188)+SUM(C192:C193)+SUM(C197:C198)</f>
        <v>0</v>
      </c>
      <c r="D200" s="114">
        <f>+SUM(D149:D155)+SUM(D159:D162)+SUM(D166:D169)+SUM(D173:D175)+SUM(D179:D181)+SUM(D185:D188)+SUM(D192:D193)+SUM(D197:D198)</f>
        <v>124225.29000000001</v>
      </c>
      <c r="E200" s="114">
        <f>D200-C200</f>
        <v>124225.29000000001</v>
      </c>
    </row>
    <row r="201" spans="1:5" ht="14.25">
      <c r="A201" s="66"/>
      <c r="B201" s="127" t="s">
        <v>136</v>
      </c>
      <c r="C201" s="114">
        <f>+SUM(C6:C9)+SUM(C15:C21)+SUM(C25:C31)+SUM(C35:C44)+SUM(C48:C51)+SUM(C55:C67)+SUM(C69:C70)+SUM(C73:C77)+SUM(C81:C90)+SUM(C94:C94)+SUM(C99:C100)+SUM(C103:C107)+SUM(C111:C114)+SUM(C118:C122)+SUM(C126:C128)+SUM(C132:C133)+SUM(C137:C140)+SUM(C149:C155)+SUM(C159:C162)+SUM(C166:C169)+SUM(C173:C175)+SUM(C179:C181)+SUM(C185:C188)+SUM(C192:C193)+SUM(C197:C198)</f>
        <v>-123.58999999999651</v>
      </c>
      <c r="D201" s="114">
        <f>+SUM(D6:D9)+SUM(D15:D21)+SUM(D25:D31)+SUM(D35:D44)+SUM(D48:D51)+SUM(D55:D67)+SUM(D69:D70)+SUM(D73:D77)+SUM(D81:D90)+SUM(D94:D94)+SUM(D99:D100)+SUM(D103:D107)+SUM(D111:D114)+SUM(D118:D122)+SUM(D126:D128)+SUM(D132:D133)+SUM(D137:D140)+SUM(D149:D155)+SUM(D159:D162)+SUM(D166:D169)+SUM(D173:D175)+SUM(D179:D181)+SUM(D185:D188)+SUM(D192:D193)+SUM(D197:D198)</f>
        <v>12598.290000000074</v>
      </c>
      <c r="E201" s="114">
        <f>D201-C201</f>
        <v>12721.88000000007</v>
      </c>
    </row>
    <row r="202" ht="12.75">
      <c r="A202" s="66"/>
    </row>
    <row r="203" spans="1:5" ht="14.25">
      <c r="A203" s="66"/>
      <c r="B203" s="127" t="s">
        <v>137</v>
      </c>
      <c r="C203" s="66"/>
      <c r="D203" s="66"/>
      <c r="E203" s="66"/>
    </row>
    <row r="204" spans="1:5" ht="12.75">
      <c r="A204" s="66"/>
      <c r="B204" s="66"/>
      <c r="C204" s="66"/>
      <c r="D204" s="66"/>
      <c r="E204" s="66"/>
    </row>
    <row r="205" spans="1:5" ht="14.25">
      <c r="A205" s="66"/>
      <c r="B205" s="127" t="s">
        <v>138</v>
      </c>
      <c r="C205" s="66"/>
      <c r="D205" s="66"/>
      <c r="E205" s="66"/>
    </row>
    <row r="206" spans="1:5" ht="12.75">
      <c r="A206" s="66"/>
      <c r="B206" s="66"/>
      <c r="C206" s="66"/>
      <c r="D206" s="66"/>
      <c r="E206" s="66"/>
    </row>
    <row r="207" spans="1:5" ht="14.25">
      <c r="A207" s="66"/>
      <c r="B207" s="127" t="s">
        <v>298</v>
      </c>
      <c r="C207" s="66"/>
      <c r="D207" s="66"/>
      <c r="E207" s="66"/>
    </row>
    <row r="208" spans="1:5" ht="12.75">
      <c r="A208" s="67">
        <v>5101</v>
      </c>
      <c r="B208" s="66" t="s">
        <v>206</v>
      </c>
      <c r="C208" s="68">
        <v>0</v>
      </c>
      <c r="D208" s="68">
        <v>17180.57</v>
      </c>
      <c r="E208" s="68">
        <f aca="true" t="shared" si="10" ref="E208:E213">D208-C208</f>
        <v>17180.57</v>
      </c>
    </row>
    <row r="209" spans="1:5" ht="12.75">
      <c r="A209" s="67">
        <v>5102</v>
      </c>
      <c r="B209" s="66" t="s">
        <v>52</v>
      </c>
      <c r="C209" s="68">
        <v>0</v>
      </c>
      <c r="D209" s="68">
        <v>84069.13</v>
      </c>
      <c r="E209" s="68">
        <f t="shared" si="10"/>
        <v>84069.13</v>
      </c>
    </row>
    <row r="210" spans="1:5" ht="12.75">
      <c r="A210" s="67">
        <v>5104</v>
      </c>
      <c r="B210" s="66" t="s">
        <v>207</v>
      </c>
      <c r="C210" s="68">
        <v>0</v>
      </c>
      <c r="D210" s="68">
        <v>115008.84</v>
      </c>
      <c r="E210" s="68">
        <f t="shared" si="10"/>
        <v>115008.84</v>
      </c>
    </row>
    <row r="211" spans="1:5" ht="12.75">
      <c r="A211" s="67">
        <v>5106</v>
      </c>
      <c r="B211" s="66" t="s">
        <v>140</v>
      </c>
      <c r="C211" s="68">
        <v>0</v>
      </c>
      <c r="D211" s="68">
        <v>6692.95</v>
      </c>
      <c r="E211" s="68">
        <f t="shared" si="10"/>
        <v>6692.95</v>
      </c>
    </row>
    <row r="212" spans="1:5" ht="12.75">
      <c r="A212" s="67">
        <v>5108</v>
      </c>
      <c r="B212" s="66" t="s">
        <v>269</v>
      </c>
      <c r="C212" s="68">
        <v>0</v>
      </c>
      <c r="D212" s="68">
        <v>107342.94</v>
      </c>
      <c r="E212" s="68">
        <f t="shared" si="10"/>
        <v>107342.94</v>
      </c>
    </row>
    <row r="213" spans="1:5" ht="14.25">
      <c r="A213" s="66"/>
      <c r="B213" s="127" t="s">
        <v>299</v>
      </c>
      <c r="C213" s="114">
        <f>+SUM(C208:C212)</f>
        <v>0</v>
      </c>
      <c r="D213" s="114">
        <f>+SUM(D208:D212)</f>
        <v>330294.43000000005</v>
      </c>
      <c r="E213" s="114">
        <f t="shared" si="10"/>
        <v>330294.43000000005</v>
      </c>
    </row>
    <row r="214" spans="1:5" ht="12.75">
      <c r="A214" s="66"/>
      <c r="B214" s="66"/>
      <c r="C214" s="66"/>
      <c r="D214" s="66"/>
      <c r="E214" s="66"/>
    </row>
    <row r="215" spans="1:5" ht="14.25">
      <c r="A215" s="66"/>
      <c r="B215" s="127" t="s">
        <v>142</v>
      </c>
      <c r="C215" s="66"/>
      <c r="D215" s="66"/>
      <c r="E215" s="66"/>
    </row>
    <row r="216" spans="1:5" ht="12.75">
      <c r="A216" s="67">
        <v>5221</v>
      </c>
      <c r="B216" s="66" t="s">
        <v>196</v>
      </c>
      <c r="C216" s="68">
        <v>0</v>
      </c>
      <c r="D216" s="68">
        <v>550000</v>
      </c>
      <c r="E216" s="68">
        <f aca="true" t="shared" si="11" ref="E216:E221">D216-C216</f>
        <v>550000</v>
      </c>
    </row>
    <row r="217" spans="1:5" ht="12.75">
      <c r="A217" s="67">
        <v>5222</v>
      </c>
      <c r="B217" s="66" t="s">
        <v>227</v>
      </c>
      <c r="C217" s="68">
        <v>0</v>
      </c>
      <c r="D217" s="68">
        <v>2550000</v>
      </c>
      <c r="E217" s="68">
        <f t="shared" si="11"/>
        <v>2550000</v>
      </c>
    </row>
    <row r="218" spans="1:5" ht="12.75">
      <c r="A218" s="67">
        <v>5223</v>
      </c>
      <c r="B218" s="66" t="s">
        <v>197</v>
      </c>
      <c r="C218" s="68">
        <v>0</v>
      </c>
      <c r="D218" s="68">
        <v>2500000</v>
      </c>
      <c r="E218" s="68">
        <f t="shared" si="11"/>
        <v>2500000</v>
      </c>
    </row>
    <row r="219" spans="1:5" ht="14.25">
      <c r="A219" s="66"/>
      <c r="B219" s="127" t="s">
        <v>143</v>
      </c>
      <c r="C219" s="114">
        <f>+SUM(C216:C218)</f>
        <v>0</v>
      </c>
      <c r="D219" s="114">
        <f>+SUM(D216:D218)</f>
        <v>5600000</v>
      </c>
      <c r="E219" s="114">
        <f t="shared" si="11"/>
        <v>5600000</v>
      </c>
    </row>
    <row r="220" spans="1:5" ht="12.75">
      <c r="A220" s="67">
        <v>5300</v>
      </c>
      <c r="B220" s="66" t="s">
        <v>144</v>
      </c>
      <c r="C220" s="68">
        <v>0</v>
      </c>
      <c r="D220" s="68">
        <v>3322418.02</v>
      </c>
      <c r="E220" s="68">
        <f t="shared" si="11"/>
        <v>3322418.02</v>
      </c>
    </row>
    <row r="221" spans="1:5" ht="14.25">
      <c r="A221" s="66"/>
      <c r="B221" s="127" t="s">
        <v>145</v>
      </c>
      <c r="C221" s="114">
        <f>+SUM(C208:C212)+SUM(C216:C218)+SUM(C220:C220)</f>
        <v>0</v>
      </c>
      <c r="D221" s="114">
        <f>+SUM(D208:D212)+SUM(D216:D218)+SUM(D220:D220)</f>
        <v>9252712.45</v>
      </c>
      <c r="E221" s="114">
        <f t="shared" si="11"/>
        <v>9252712.45</v>
      </c>
    </row>
    <row r="222" spans="1:5" ht="12.75">
      <c r="A222" s="66"/>
      <c r="B222" s="66"/>
      <c r="C222" s="66"/>
      <c r="D222" s="66"/>
      <c r="E222" s="66"/>
    </row>
    <row r="223" spans="1:5" ht="14.25">
      <c r="A223" s="66"/>
      <c r="B223" s="127" t="s">
        <v>146</v>
      </c>
      <c r="C223" s="66"/>
      <c r="D223" s="66"/>
      <c r="E223" s="66"/>
    </row>
    <row r="224" spans="1:5" ht="12.75">
      <c r="A224" s="66"/>
      <c r="B224" s="66"/>
      <c r="C224" s="66"/>
      <c r="D224" s="66"/>
      <c r="E224" s="66"/>
    </row>
    <row r="225" spans="1:5" ht="14.25">
      <c r="A225" s="66"/>
      <c r="B225" s="127" t="s">
        <v>147</v>
      </c>
      <c r="C225" s="66"/>
      <c r="D225" s="66"/>
      <c r="E225" s="66"/>
    </row>
    <row r="226" spans="1:5" ht="12.75">
      <c r="A226" s="67">
        <v>5420</v>
      </c>
      <c r="B226" s="66" t="s">
        <v>147</v>
      </c>
      <c r="C226" s="68">
        <v>0</v>
      </c>
      <c r="D226" s="68">
        <v>52869.63</v>
      </c>
      <c r="E226" s="68">
        <f>D226-C226</f>
        <v>52869.63</v>
      </c>
    </row>
    <row r="227" spans="1:5" ht="14.25">
      <c r="A227" s="66"/>
      <c r="B227" s="127" t="s">
        <v>148</v>
      </c>
      <c r="C227" s="114">
        <f>+SUM(C226:C226)</f>
        <v>0</v>
      </c>
      <c r="D227" s="114">
        <f>+SUM(D226:D226)</f>
        <v>52869.63</v>
      </c>
      <c r="E227" s="114">
        <f>D227-C227</f>
        <v>52869.63</v>
      </c>
    </row>
    <row r="228" spans="1:5" ht="12.75">
      <c r="A228" s="66"/>
      <c r="B228" s="66"/>
      <c r="C228" s="66"/>
      <c r="D228" s="66"/>
      <c r="E228" s="66"/>
    </row>
    <row r="229" spans="1:5" ht="14.25">
      <c r="A229" s="66"/>
      <c r="B229" s="127" t="s">
        <v>149</v>
      </c>
      <c r="C229" s="66"/>
      <c r="D229" s="66"/>
      <c r="E229" s="66"/>
    </row>
    <row r="230" spans="1:5" ht="12.75">
      <c r="A230" s="67">
        <v>5519</v>
      </c>
      <c r="B230" s="66" t="s">
        <v>150</v>
      </c>
      <c r="C230" s="68">
        <v>0</v>
      </c>
      <c r="D230" s="68">
        <v>0</v>
      </c>
      <c r="E230" s="68">
        <f aca="true" t="shared" si="12" ref="E230:E240">D230-C230</f>
        <v>0</v>
      </c>
    </row>
    <row r="231" spans="1:5" ht="12.75">
      <c r="A231" s="67">
        <v>5520</v>
      </c>
      <c r="B231" s="66" t="s">
        <v>151</v>
      </c>
      <c r="C231" s="68">
        <v>0</v>
      </c>
      <c r="D231" s="68">
        <v>0</v>
      </c>
      <c r="E231" s="68">
        <f t="shared" si="12"/>
        <v>0</v>
      </c>
    </row>
    <row r="232" spans="1:5" ht="12.75">
      <c r="A232" s="67">
        <v>5530</v>
      </c>
      <c r="B232" s="66" t="s">
        <v>258</v>
      </c>
      <c r="C232" s="68">
        <v>0</v>
      </c>
      <c r="D232" s="68">
        <v>0</v>
      </c>
      <c r="E232" s="68">
        <f t="shared" si="12"/>
        <v>0</v>
      </c>
    </row>
    <row r="233" spans="1:5" ht="12.75">
      <c r="A233" s="67">
        <v>5550</v>
      </c>
      <c r="B233" s="66" t="s">
        <v>152</v>
      </c>
      <c r="C233" s="68">
        <v>0</v>
      </c>
      <c r="D233" s="68">
        <v>0</v>
      </c>
      <c r="E233" s="68">
        <f t="shared" si="12"/>
        <v>0</v>
      </c>
    </row>
    <row r="234" spans="1:5" ht="12.75">
      <c r="A234" s="67">
        <v>5560</v>
      </c>
      <c r="B234" s="66" t="s">
        <v>153</v>
      </c>
      <c r="C234" s="68">
        <v>0</v>
      </c>
      <c r="D234" s="68">
        <v>0</v>
      </c>
      <c r="E234" s="68">
        <f t="shared" si="12"/>
        <v>0</v>
      </c>
    </row>
    <row r="235" spans="1:5" ht="12.75">
      <c r="A235" s="67">
        <v>5570</v>
      </c>
      <c r="B235" s="66" t="s">
        <v>154</v>
      </c>
      <c r="C235" s="68">
        <v>0</v>
      </c>
      <c r="D235" s="68">
        <v>10846</v>
      </c>
      <c r="E235" s="68">
        <f t="shared" si="12"/>
        <v>10846</v>
      </c>
    </row>
    <row r="236" spans="1:5" ht="12.75">
      <c r="A236" s="67">
        <v>5580</v>
      </c>
      <c r="B236" s="66" t="s">
        <v>237</v>
      </c>
      <c r="C236" s="68">
        <v>0</v>
      </c>
      <c r="D236" s="68">
        <v>11242.14</v>
      </c>
      <c r="E236" s="68">
        <f t="shared" si="12"/>
        <v>11242.14</v>
      </c>
    </row>
    <row r="237" spans="1:5" ht="12.75">
      <c r="A237" s="67">
        <v>5582</v>
      </c>
      <c r="B237" s="66" t="s">
        <v>238</v>
      </c>
      <c r="C237" s="68">
        <v>0</v>
      </c>
      <c r="D237" s="68">
        <v>7000</v>
      </c>
      <c r="E237" s="68">
        <f t="shared" si="12"/>
        <v>7000</v>
      </c>
    </row>
    <row r="238" spans="1:5" ht="12.75">
      <c r="A238" s="67">
        <v>5584</v>
      </c>
      <c r="B238" s="66" t="s">
        <v>239</v>
      </c>
      <c r="C238" s="68">
        <v>0</v>
      </c>
      <c r="D238" s="68">
        <v>9500</v>
      </c>
      <c r="E238" s="68">
        <f t="shared" si="12"/>
        <v>9500</v>
      </c>
    </row>
    <row r="239" spans="1:5" ht="12.75">
      <c r="A239" s="67">
        <v>5590</v>
      </c>
      <c r="B239" s="66" t="s">
        <v>330</v>
      </c>
      <c r="C239" s="68">
        <v>0</v>
      </c>
      <c r="D239" s="68">
        <v>0</v>
      </c>
      <c r="E239" s="68">
        <f t="shared" si="12"/>
        <v>0</v>
      </c>
    </row>
    <row r="240" spans="1:5" ht="14.25">
      <c r="A240" s="66"/>
      <c r="B240" s="127" t="s">
        <v>155</v>
      </c>
      <c r="C240" s="114">
        <f>+SUM(C230:C239)</f>
        <v>0</v>
      </c>
      <c r="D240" s="114">
        <f>+SUM(D230:D239)</f>
        <v>38588.14</v>
      </c>
      <c r="E240" s="114">
        <f t="shared" si="12"/>
        <v>38588.14</v>
      </c>
    </row>
    <row r="241" spans="1:5" ht="12.75">
      <c r="A241" s="66"/>
      <c r="B241" s="66"/>
      <c r="C241" s="66"/>
      <c r="D241" s="66"/>
      <c r="E241" s="66"/>
    </row>
    <row r="242" spans="1:5" ht="14.25">
      <c r="A242" s="66"/>
      <c r="B242" s="127" t="s">
        <v>156</v>
      </c>
      <c r="C242" s="66"/>
      <c r="D242" s="66"/>
      <c r="E242" s="66"/>
    </row>
    <row r="243" spans="1:5" ht="12.75">
      <c r="A243" s="67">
        <v>5910</v>
      </c>
      <c r="B243" s="66" t="s">
        <v>157</v>
      </c>
      <c r="C243" s="68">
        <v>0</v>
      </c>
      <c r="D243" s="68">
        <v>0</v>
      </c>
      <c r="E243" s="68">
        <f aca="true" t="shared" si="13" ref="E243:E249">D243-C243</f>
        <v>0</v>
      </c>
    </row>
    <row r="244" spans="1:5" ht="12.75">
      <c r="A244" s="67">
        <v>5920</v>
      </c>
      <c r="B244" s="66" t="s">
        <v>240</v>
      </c>
      <c r="C244" s="68">
        <v>0</v>
      </c>
      <c r="D244" s="68">
        <v>0</v>
      </c>
      <c r="E244" s="68">
        <f t="shared" si="13"/>
        <v>0</v>
      </c>
    </row>
    <row r="245" spans="1:5" ht="12.75">
      <c r="A245" s="67">
        <v>5930</v>
      </c>
      <c r="B245" s="66" t="s">
        <v>259</v>
      </c>
      <c r="C245" s="68">
        <v>0</v>
      </c>
      <c r="D245" s="68">
        <v>0</v>
      </c>
      <c r="E245" s="68">
        <f t="shared" si="13"/>
        <v>0</v>
      </c>
    </row>
    <row r="246" spans="1:5" ht="12.75">
      <c r="A246" s="67">
        <v>5940</v>
      </c>
      <c r="B246" s="66" t="s">
        <v>260</v>
      </c>
      <c r="C246" s="68">
        <v>0</v>
      </c>
      <c r="D246" s="68">
        <v>1108795.36</v>
      </c>
      <c r="E246" s="68">
        <f t="shared" si="13"/>
        <v>1108795.36</v>
      </c>
    </row>
    <row r="247" spans="1:5" ht="14.25">
      <c r="A247" s="66"/>
      <c r="B247" s="127" t="s">
        <v>158</v>
      </c>
      <c r="C247" s="114">
        <f>+SUM(C243:C246)</f>
        <v>0</v>
      </c>
      <c r="D247" s="114">
        <f>+SUM(D243:D246)</f>
        <v>1108795.36</v>
      </c>
      <c r="E247" s="114">
        <f t="shared" si="13"/>
        <v>1108795.36</v>
      </c>
    </row>
    <row r="248" spans="1:5" ht="14.25">
      <c r="A248" s="66"/>
      <c r="B248" s="127" t="s">
        <v>160</v>
      </c>
      <c r="C248" s="114">
        <f>+SUM(C208:C212)+SUM(C216:C218)+SUM(C220:C220)+SUM(C226:C226)+SUM(C230:C239)+SUM(C243:C246)</f>
        <v>0</v>
      </c>
      <c r="D248" s="114">
        <f>+SUM(D208:D212)+SUM(D216:D218)+SUM(D220:D220)+SUM(D226:D226)+SUM(D230:D239)+SUM(D243:D246)</f>
        <v>10452965.58</v>
      </c>
      <c r="E248" s="114">
        <f t="shared" si="13"/>
        <v>10452965.58</v>
      </c>
    </row>
    <row r="249" spans="1:5" ht="14.25">
      <c r="A249" s="66"/>
      <c r="B249" s="127" t="s">
        <v>159</v>
      </c>
      <c r="C249" s="114">
        <f>+SUM(C226:C226)+SUM(C230:C239)+SUM(C243:C246)</f>
        <v>0</v>
      </c>
      <c r="D249" s="114">
        <f>+SUM(D226:D226)+SUM(D230:D239)+SUM(D243:D246)</f>
        <v>1200253.1300000001</v>
      </c>
      <c r="E249" s="114">
        <f t="shared" si="13"/>
        <v>1200253.1300000001</v>
      </c>
    </row>
    <row r="250" ht="12.75">
      <c r="A250" s="66"/>
    </row>
    <row r="251" spans="1:5" ht="14.25">
      <c r="A251" s="66"/>
      <c r="B251" s="127" t="s">
        <v>161</v>
      </c>
      <c r="C251" s="66"/>
      <c r="D251" s="66"/>
      <c r="E251" s="66"/>
    </row>
    <row r="252" spans="1:5" ht="12.75">
      <c r="A252" s="66"/>
      <c r="B252" s="66"/>
      <c r="C252" s="66"/>
      <c r="D252" s="66"/>
      <c r="E252" s="66"/>
    </row>
    <row r="253" spans="1:5" ht="14.25">
      <c r="A253" s="66"/>
      <c r="B253" s="127" t="s">
        <v>162</v>
      </c>
      <c r="C253" s="66"/>
      <c r="D253" s="66"/>
      <c r="E253" s="66"/>
    </row>
    <row r="254" spans="1:5" ht="12.75">
      <c r="A254" s="67">
        <v>6110</v>
      </c>
      <c r="B254" s="66" t="s">
        <v>163</v>
      </c>
      <c r="C254" s="68">
        <v>0</v>
      </c>
      <c r="D254" s="68">
        <v>-6048295.19</v>
      </c>
      <c r="E254" s="68">
        <f>D254-C254</f>
        <v>-6048295.19</v>
      </c>
    </row>
    <row r="255" spans="1:5" ht="14.25">
      <c r="A255" s="66"/>
      <c r="B255" s="127" t="s">
        <v>164</v>
      </c>
      <c r="C255" s="114">
        <f>+SUM(C6:C9)+SUM(C15:C21)+SUM(C25:C31)+SUM(C35:C44)+SUM(C48:C51)+SUM(C55:C67)+SUM(C69:C70)+SUM(C73:C77)+SUM(C81:C90)+SUM(C94:C94)+SUM(C99:C100)+SUM(C103:C107)+SUM(C111:C114)+SUM(C118:C122)+SUM(C126:C128)+SUM(C132:C133)+SUM(C137:C140)+SUM(C149:C155)+SUM(C159:C162)+SUM(C166:C169)+SUM(C173:C175)+SUM(C179:C181)+SUM(C185:C188)+SUM(C192:C193)+SUM(C197:C198)</f>
        <v>-123.58999999999651</v>
      </c>
      <c r="D255" s="114">
        <f>+SUM(D6:D9)+SUM(D15:D21)+SUM(D25:D31)+SUM(D35:D44)+SUM(D48:D51)+SUM(D55:D67)+SUM(D69:D70)+SUM(D73:D77)+SUM(D81:D90)+SUM(D94:D94)+SUM(D99:D100)+SUM(D103:D107)+SUM(D111:D114)+SUM(D118:D122)+SUM(D126:D128)+SUM(D132:D133)+SUM(D137:D140)+SUM(D149:D155)+SUM(D159:D162)+SUM(D166:D169)+SUM(D173:D175)+SUM(D179:D181)+SUM(D185:D188)+SUM(D192:D193)+SUM(D197:D198)</f>
        <v>12598.290000000074</v>
      </c>
      <c r="E255" s="114">
        <f>D255-C255</f>
        <v>12721.88000000007</v>
      </c>
    </row>
    <row r="256" spans="1:5" ht="12.75">
      <c r="A256" s="67">
        <v>6130</v>
      </c>
      <c r="B256" s="66" t="s">
        <v>245</v>
      </c>
      <c r="C256" s="68">
        <v>0</v>
      </c>
      <c r="D256" s="68">
        <v>0</v>
      </c>
      <c r="E256" s="68">
        <f>D256-C256</f>
        <v>0</v>
      </c>
    </row>
    <row r="257" spans="1:5" ht="14.25">
      <c r="A257" s="66"/>
      <c r="B257" s="127" t="s">
        <v>166</v>
      </c>
      <c r="C257" s="114">
        <f>+SUM(C6:C9)+SUM(C15:C21)+SUM(C25:C31)+SUM(C35:C44)+SUM(C48:C51)+SUM(C55:C67)+SUM(C69:C70)+SUM(C73:C77)+SUM(C81:C90)+SUM(C94:C94)+SUM(C99:C100)+SUM(C103:C107)+SUM(C111:C114)+SUM(C118:C122)+SUM(C126:C128)+SUM(C132:C133)+SUM(C137:C140)+SUM(C149:C155)+SUM(C159:C162)+SUM(C166:C169)+SUM(C173:C175)+SUM(C179:C181)+SUM(C185:C188)+SUM(C192:C193)+SUM(C197:C198)+SUM(C254:C254)+SUM(C256:C256)</f>
        <v>-123.58999999999651</v>
      </c>
      <c r="D257" s="114">
        <f>+SUM(D6:D9)+SUM(D15:D21)+SUM(D25:D31)+SUM(D35:D44)+SUM(D48:D51)+SUM(D55:D67)+SUM(D69:D70)+SUM(D73:D77)+SUM(D81:D90)+SUM(D94:D94)+SUM(D99:D100)+SUM(D103:D107)+SUM(D111:D114)+SUM(D118:D122)+SUM(D126:D128)+SUM(D132:D133)+SUM(D137:D140)+SUM(D149:D155)+SUM(D159:D162)+SUM(D166:D169)+SUM(D173:D175)+SUM(D179:D181)+SUM(D185:D188)+SUM(D192:D193)+SUM(D197:D198)+SUM(D254:D254)+SUM(D256:D256)</f>
        <v>-6035696.9</v>
      </c>
      <c r="E257" s="114">
        <f>D257-C257</f>
        <v>-6035573.3100000005</v>
      </c>
    </row>
    <row r="258" spans="1:5" ht="12.75">
      <c r="A258" s="66"/>
      <c r="B258" s="66"/>
      <c r="C258" s="66"/>
      <c r="D258" s="66"/>
      <c r="E258" s="66"/>
    </row>
    <row r="259" spans="1:5" ht="14.25">
      <c r="A259" s="66"/>
      <c r="B259" s="127" t="s">
        <v>168</v>
      </c>
      <c r="C259" s="66"/>
      <c r="D259" s="66"/>
      <c r="E259" s="66"/>
    </row>
    <row r="260" spans="1:5" ht="12.75">
      <c r="A260" s="67">
        <v>6320</v>
      </c>
      <c r="B260" s="66" t="s">
        <v>300</v>
      </c>
      <c r="C260" s="68">
        <v>0</v>
      </c>
      <c r="D260" s="68">
        <v>-34784</v>
      </c>
      <c r="E260" s="68">
        <f aca="true" t="shared" si="14" ref="E260:E266">D260-C260</f>
        <v>-34784</v>
      </c>
    </row>
    <row r="261" spans="1:5" ht="12.75">
      <c r="A261" s="67">
        <v>6340</v>
      </c>
      <c r="B261" s="66" t="s">
        <v>215</v>
      </c>
      <c r="C261" s="68">
        <v>0</v>
      </c>
      <c r="D261" s="68">
        <v>-8700</v>
      </c>
      <c r="E261" s="68">
        <f t="shared" si="14"/>
        <v>-8700</v>
      </c>
    </row>
    <row r="262" spans="1:5" ht="12.75">
      <c r="A262" s="67">
        <v>6345</v>
      </c>
      <c r="B262" s="66" t="s">
        <v>216</v>
      </c>
      <c r="C262" s="68">
        <v>0</v>
      </c>
      <c r="D262" s="68">
        <v>-10968</v>
      </c>
      <c r="E262" s="68">
        <f t="shared" si="14"/>
        <v>-10968</v>
      </c>
    </row>
    <row r="263" spans="1:5" ht="12.75">
      <c r="A263" s="67">
        <v>6350</v>
      </c>
      <c r="B263" s="66" t="s">
        <v>213</v>
      </c>
      <c r="C263" s="68">
        <v>0</v>
      </c>
      <c r="D263" s="68">
        <v>-20019.83</v>
      </c>
      <c r="E263" s="68">
        <f t="shared" si="14"/>
        <v>-20019.83</v>
      </c>
    </row>
    <row r="264" spans="1:5" ht="12.75">
      <c r="A264" s="67">
        <v>6360</v>
      </c>
      <c r="B264" s="66" t="s">
        <v>214</v>
      </c>
      <c r="C264" s="68">
        <v>0</v>
      </c>
      <c r="D264" s="68">
        <v>-20618.83</v>
      </c>
      <c r="E264" s="68">
        <f t="shared" si="14"/>
        <v>-20618.83</v>
      </c>
    </row>
    <row r="265" spans="1:5" ht="12.75">
      <c r="A265" s="67">
        <v>6380</v>
      </c>
      <c r="B265" s="66" t="s">
        <v>169</v>
      </c>
      <c r="C265" s="68">
        <v>0</v>
      </c>
      <c r="D265" s="68">
        <v>0</v>
      </c>
      <c r="E265" s="68">
        <f t="shared" si="14"/>
        <v>0</v>
      </c>
    </row>
    <row r="266" spans="1:5" ht="14.25">
      <c r="A266" s="66"/>
      <c r="B266" s="127" t="s">
        <v>170</v>
      </c>
      <c r="C266" s="114">
        <f>+SUM(C260:C265)</f>
        <v>0</v>
      </c>
      <c r="D266" s="114">
        <f>+SUM(D260:D265)</f>
        <v>-95090.66</v>
      </c>
      <c r="E266" s="114">
        <f t="shared" si="14"/>
        <v>-95090.66</v>
      </c>
    </row>
    <row r="267" spans="1:5" ht="12.75">
      <c r="A267" s="66"/>
      <c r="B267" s="66"/>
      <c r="C267" s="66"/>
      <c r="D267" s="66"/>
      <c r="E267" s="66"/>
    </row>
    <row r="268" spans="1:5" ht="14.25">
      <c r="A268" s="66"/>
      <c r="B268" s="127" t="s">
        <v>198</v>
      </c>
      <c r="C268" s="66"/>
      <c r="D268" s="66"/>
      <c r="E268" s="66"/>
    </row>
    <row r="269" spans="1:5" ht="12.75">
      <c r="A269" s="66"/>
      <c r="B269" s="66"/>
      <c r="C269" s="66"/>
      <c r="D269" s="66"/>
      <c r="E269" s="66"/>
    </row>
    <row r="270" spans="1:5" ht="14.25">
      <c r="A270" s="66"/>
      <c r="B270" s="127" t="s">
        <v>171</v>
      </c>
      <c r="C270" s="66"/>
      <c r="D270" s="66"/>
      <c r="E270" s="66"/>
    </row>
    <row r="271" spans="1:5" ht="12.75">
      <c r="A271" s="67">
        <v>6620</v>
      </c>
      <c r="B271" s="66" t="s">
        <v>172</v>
      </c>
      <c r="C271" s="68">
        <v>0</v>
      </c>
      <c r="D271" s="68">
        <v>0</v>
      </c>
      <c r="E271" s="68">
        <f aca="true" t="shared" si="15" ref="E271:E276">D271-C271</f>
        <v>0</v>
      </c>
    </row>
    <row r="272" spans="1:5" ht="12.75">
      <c r="A272" s="67">
        <v>6630</v>
      </c>
      <c r="B272" s="66" t="s">
        <v>241</v>
      </c>
      <c r="C272" s="68">
        <v>0</v>
      </c>
      <c r="D272" s="68">
        <v>0</v>
      </c>
      <c r="E272" s="68">
        <f t="shared" si="15"/>
        <v>0</v>
      </c>
    </row>
    <row r="273" spans="1:5" ht="12.75">
      <c r="A273" s="67">
        <v>6640</v>
      </c>
      <c r="B273" s="66" t="s">
        <v>242</v>
      </c>
      <c r="C273" s="68">
        <v>0</v>
      </c>
      <c r="D273" s="68">
        <v>0</v>
      </c>
      <c r="E273" s="68">
        <f t="shared" si="15"/>
        <v>0</v>
      </c>
    </row>
    <row r="274" spans="1:5" ht="12.75">
      <c r="A274" s="67">
        <v>6650</v>
      </c>
      <c r="B274" s="66" t="s">
        <v>243</v>
      </c>
      <c r="C274" s="68">
        <v>0</v>
      </c>
      <c r="D274" s="68">
        <v>0</v>
      </c>
      <c r="E274" s="68">
        <f t="shared" si="15"/>
        <v>0</v>
      </c>
    </row>
    <row r="275" spans="1:5" ht="12.75">
      <c r="A275" s="67">
        <v>6660</v>
      </c>
      <c r="B275" s="66" t="s">
        <v>261</v>
      </c>
      <c r="C275" s="68">
        <v>0</v>
      </c>
      <c r="D275" s="68">
        <v>-1000000</v>
      </c>
      <c r="E275" s="68">
        <f t="shared" si="15"/>
        <v>-1000000</v>
      </c>
    </row>
    <row r="276" spans="1:5" ht="14.25">
      <c r="A276" s="66"/>
      <c r="B276" s="127" t="s">
        <v>173</v>
      </c>
      <c r="C276" s="114">
        <f>+SUM(C271:C275)</f>
        <v>0</v>
      </c>
      <c r="D276" s="114">
        <f>+SUM(D271:D275)</f>
        <v>-1000000</v>
      </c>
      <c r="E276" s="114">
        <f t="shared" si="15"/>
        <v>-1000000</v>
      </c>
    </row>
    <row r="277" spans="1:5" ht="12.75">
      <c r="A277" s="66"/>
      <c r="B277" s="66"/>
      <c r="C277" s="66"/>
      <c r="D277" s="66"/>
      <c r="E277" s="66"/>
    </row>
    <row r="278" spans="1:5" ht="14.25">
      <c r="A278" s="66"/>
      <c r="B278" s="127" t="s">
        <v>174</v>
      </c>
      <c r="C278" s="66"/>
      <c r="D278" s="66"/>
      <c r="E278" s="66"/>
    </row>
    <row r="279" spans="1:5" ht="12.75">
      <c r="A279" s="67">
        <v>6905</v>
      </c>
      <c r="B279" s="66" t="s">
        <v>331</v>
      </c>
      <c r="C279" s="68">
        <v>0</v>
      </c>
      <c r="D279" s="68">
        <v>240</v>
      </c>
      <c r="E279" s="68">
        <f aca="true" t="shared" si="16" ref="E279:E286">D279-C279</f>
        <v>240</v>
      </c>
    </row>
    <row r="280" spans="1:5" ht="12.75">
      <c r="A280" s="67">
        <v>6910</v>
      </c>
      <c r="B280" s="66" t="s">
        <v>175</v>
      </c>
      <c r="C280" s="68">
        <v>0</v>
      </c>
      <c r="D280" s="68">
        <v>0</v>
      </c>
      <c r="E280" s="68">
        <f t="shared" si="16"/>
        <v>0</v>
      </c>
    </row>
    <row r="281" spans="1:5" ht="12.75">
      <c r="A281" s="67">
        <v>6920</v>
      </c>
      <c r="B281" s="66" t="s">
        <v>176</v>
      </c>
      <c r="C281" s="68">
        <v>0</v>
      </c>
      <c r="D281" s="68">
        <v>-3322418.02</v>
      </c>
      <c r="E281" s="68">
        <f t="shared" si="16"/>
        <v>-3322418.02</v>
      </c>
    </row>
    <row r="282" spans="1:5" ht="14.25">
      <c r="A282" s="66"/>
      <c r="B282" s="127" t="s">
        <v>177</v>
      </c>
      <c r="C282" s="114">
        <f>+SUM(C279:C281)</f>
        <v>0</v>
      </c>
      <c r="D282" s="114">
        <f>+SUM(D279:D281)</f>
        <v>-3322178.02</v>
      </c>
      <c r="E282" s="114">
        <f t="shared" si="16"/>
        <v>-3322178.02</v>
      </c>
    </row>
    <row r="283" spans="1:5" ht="14.25">
      <c r="A283" s="66"/>
      <c r="B283" s="127" t="s">
        <v>178</v>
      </c>
      <c r="C283" s="114">
        <f>+SUM(C271:C275)+SUM(C279:C281)</f>
        <v>0</v>
      </c>
      <c r="D283" s="114">
        <f>+SUM(D271:D275)+SUM(D279:D281)</f>
        <v>-4322178.02</v>
      </c>
      <c r="E283" s="114">
        <f t="shared" si="16"/>
        <v>-4322178.02</v>
      </c>
    </row>
    <row r="284" spans="1:5" ht="14.25">
      <c r="A284" s="66"/>
      <c r="B284" s="127" t="s">
        <v>179</v>
      </c>
      <c r="C284" s="114">
        <f>+SUM(C6:C9)+SUM(C15:C21)+SUM(C25:C31)+SUM(C35:C44)+SUM(C48:C51)+SUM(C55:C67)+SUM(C69:C70)+SUM(C73:C77)+SUM(C81:C90)+SUM(C94:C94)+SUM(C99:C100)+SUM(C103:C107)+SUM(C111:C114)+SUM(C118:C122)+SUM(C126:C128)+SUM(C132:C133)+SUM(C137:C140)+SUM(C149:C155)+SUM(C159:C162)+SUM(C166:C169)+SUM(C173:C175)+SUM(C179:C181)+SUM(C185:C188)+SUM(C192:C193)+SUM(C197:C198)+SUM(C254:C254)+SUM(C256:C256)+SUM(C260:C265)+SUM(C271:C275)+SUM(C279:C281)</f>
        <v>-123.58999999999651</v>
      </c>
      <c r="D284" s="114">
        <f>+SUM(D6:D9)+SUM(D15:D21)+SUM(D25:D31)+SUM(D35:D44)+SUM(D48:D51)+SUM(D55:D67)+SUM(D69:D70)+SUM(D73:D77)+SUM(D81:D90)+SUM(D94:D94)+SUM(D99:D100)+SUM(D103:D107)+SUM(D111:D114)+SUM(D118:D122)+SUM(D126:D128)+SUM(D132:D133)+SUM(D137:D140)+SUM(D149:D155)+SUM(D159:D162)+SUM(D166:D169)+SUM(D173:D175)+SUM(D179:D181)+SUM(D185:D188)+SUM(D192:D193)+SUM(D197:D198)+SUM(D254:D254)+SUM(D256:D256)+SUM(D260:D265)+SUM(D271:D275)+SUM(D279:D281)</f>
        <v>-10452965.58</v>
      </c>
      <c r="E284" s="114">
        <f t="shared" si="16"/>
        <v>-10452841.99</v>
      </c>
    </row>
    <row r="285" spans="1:5" ht="12.75">
      <c r="A285" s="67">
        <v>9900</v>
      </c>
      <c r="B285" s="66" t="s">
        <v>181</v>
      </c>
      <c r="C285" s="68">
        <v>0</v>
      </c>
      <c r="D285" s="68">
        <v>0</v>
      </c>
      <c r="E285" s="68">
        <f t="shared" si="16"/>
        <v>0</v>
      </c>
    </row>
    <row r="286" spans="1:5" ht="14.25">
      <c r="A286" s="66"/>
      <c r="B286" s="127" t="s">
        <v>182</v>
      </c>
      <c r="C286" s="114">
        <f>+SUM(C6:C9)+SUM(C15:C21)+SUM(C25:C31)+SUM(C35:C44)+SUM(C48:C51)+SUM(C55:C67)+SUM(C69:C70)+SUM(C73:C77)+SUM(C81:C90)+SUM(C94:C94)+SUM(C99:C100)+SUM(C103:C107)+SUM(C111:C114)+SUM(C118:C122)+SUM(C126:C128)+SUM(C132:C133)+SUM(C137:C140)+SUM(C149:C155)+SUM(C159:C162)+SUM(C166:C169)+SUM(C173:C175)+SUM(C179:C181)+SUM(C185:C188)+SUM(C192:C193)+SUM(C197:C198)+SUM(C208:C212)+SUM(C216:C218)+SUM(C220:C220)+SUM(C226:C226)+SUM(C230:C239)+SUM(C243:C246)+SUM(C254:C254)+SUM(C256:C256)+SUM(C260:C265)+SUM(C271:C275)+SUM(C279:C281)+SUM(C285:C285)</f>
        <v>-123.58999999999651</v>
      </c>
      <c r="D286" s="114">
        <f>+SUM(D6:D9)+SUM(D15:D21)+SUM(D25:D31)+SUM(D35:D44)+SUM(D48:D51)+SUM(D55:D67)+SUM(D69:D70)+SUM(D73:D77)+SUM(D81:D90)+SUM(D94:D94)+SUM(D99:D100)+SUM(D103:D107)+SUM(D111:D114)+SUM(D118:D122)+SUM(D126:D128)+SUM(D132:D133)+SUM(D137:D140)+SUM(D149:D155)+SUM(D159:D162)+SUM(D166:D169)+SUM(D173:D175)+SUM(D179:D181)+SUM(D185:D188)+SUM(D192:D193)+SUM(D197:D198)+SUM(D208:D212)+SUM(D216:D218)+SUM(D220:D220)+SUM(D226:D226)+SUM(D230:D239)+SUM(D243:D246)+SUM(D254:D254)+SUM(D256:D256)+SUM(D260:D265)+SUM(D271:D275)+SUM(D279:D281)+SUM(D285:D285)</f>
        <v>4.656612873077393E-10</v>
      </c>
      <c r="E286" s="114">
        <f t="shared" si="16"/>
        <v>123.59000000046217</v>
      </c>
    </row>
  </sheetData>
  <sheetProtection/>
  <mergeCells count="1">
    <mergeCell ref="A1:Y1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3"/>
  <sheetViews>
    <sheetView zoomScalePageLayoutView="0" workbookViewId="0" topLeftCell="A1">
      <selection activeCell="E62" sqref="E62"/>
    </sheetView>
  </sheetViews>
  <sheetFormatPr defaultColWidth="9.140625" defaultRowHeight="12.75"/>
  <cols>
    <col min="1" max="1" width="8.140625" style="0" bestFit="1" customWidth="1"/>
    <col min="2" max="2" width="11.140625" style="62" customWidth="1"/>
    <col min="3" max="3" width="13.28125" style="62" customWidth="1"/>
    <col min="4" max="4" width="34.8515625" style="0" bestFit="1" customWidth="1"/>
    <col min="5" max="5" width="14.57421875" style="63" customWidth="1"/>
    <col min="6" max="6" width="10.57421875" style="0" bestFit="1" customWidth="1"/>
    <col min="7" max="7" width="11.8515625" style="0" bestFit="1" customWidth="1"/>
    <col min="8" max="8" width="15.8515625" style="63" customWidth="1"/>
  </cols>
  <sheetData>
    <row r="1" spans="1:8" ht="14.25">
      <c r="A1" s="59" t="s">
        <v>18</v>
      </c>
      <c r="B1" s="60" t="s">
        <v>19</v>
      </c>
      <c r="C1" s="60" t="s">
        <v>20</v>
      </c>
      <c r="D1" s="59" t="s">
        <v>21</v>
      </c>
      <c r="E1" s="61" t="s">
        <v>22</v>
      </c>
      <c r="F1" s="59" t="s">
        <v>23</v>
      </c>
      <c r="G1" s="59" t="s">
        <v>24</v>
      </c>
      <c r="H1" s="61" t="s">
        <v>25</v>
      </c>
    </row>
    <row r="2" spans="1:8" ht="15">
      <c r="A2" s="90">
        <f>Saldobalance!A6</f>
        <v>1010</v>
      </c>
      <c r="B2" s="62">
        <f>'Regnskab og budget'!$F$2</f>
        <v>41275</v>
      </c>
      <c r="C2" s="62">
        <f>'Regnskab og budget'!$H$2</f>
        <v>41639</v>
      </c>
      <c r="D2" s="20" t="str">
        <f>'Regnskab og budget'!A7</f>
        <v>GEF ejerne</v>
      </c>
      <c r="E2" s="63">
        <f>'Regnskab og budget'!K7</f>
        <v>-777600</v>
      </c>
      <c r="F2">
        <v>1</v>
      </c>
      <c r="G2" t="str">
        <f>IF(E2&lt;0,"Kredit","")</f>
        <v>Kredit</v>
      </c>
      <c r="H2" s="71">
        <v>0</v>
      </c>
    </row>
    <row r="3" spans="1:8" ht="15">
      <c r="A3" s="90">
        <f>Saldobalance!A7</f>
        <v>1020</v>
      </c>
      <c r="B3" s="62">
        <f>'Regnskab og budget'!$F$2</f>
        <v>41275</v>
      </c>
      <c r="C3" s="62">
        <f>'Regnskab og budget'!$H$2</f>
        <v>41639</v>
      </c>
      <c r="D3" s="20" t="str">
        <f>'Regnskab og budget'!A8</f>
        <v>GEF lejerne</v>
      </c>
      <c r="E3" s="63">
        <f>'Regnskab og budget'!K8</f>
        <v>-46656</v>
      </c>
      <c r="F3">
        <v>1</v>
      </c>
      <c r="G3" t="str">
        <f aca="true" t="shared" si="0" ref="G3:G74">IF(E3&lt;0,"Kredit","")</f>
        <v>Kredit</v>
      </c>
      <c r="H3" s="71">
        <v>0</v>
      </c>
    </row>
    <row r="4" spans="1:8" ht="15">
      <c r="A4" s="90">
        <f>Saldobalance!A8</f>
        <v>1030</v>
      </c>
      <c r="B4" s="62">
        <f>'Regnskab og budget'!$F$2</f>
        <v>41275</v>
      </c>
      <c r="C4" s="62">
        <f>'Regnskab og budget'!$H$2</f>
        <v>41639</v>
      </c>
      <c r="D4" s="20" t="str">
        <f>'Regnskab og budget'!A9</f>
        <v>Rykkergebyr</v>
      </c>
      <c r="E4" s="63">
        <f>'Regnskab og budget'!K9</f>
        <v>-2000</v>
      </c>
      <c r="F4">
        <v>1</v>
      </c>
      <c r="G4" t="str">
        <f t="shared" si="0"/>
        <v>Kredit</v>
      </c>
      <c r="H4" s="71">
        <v>0</v>
      </c>
    </row>
    <row r="5" spans="1:8" ht="15">
      <c r="A5" s="90">
        <f>Saldobalance!A9</f>
        <v>1040</v>
      </c>
      <c r="B5" s="62">
        <f>'Regnskab og budget'!$F$2</f>
        <v>41275</v>
      </c>
      <c r="C5" s="62">
        <f>'Regnskab og budget'!$H$2</f>
        <v>41639</v>
      </c>
      <c r="D5" s="20" t="str">
        <f>'Regnskab og budget'!A10</f>
        <v>Andre indtægter</v>
      </c>
      <c r="E5" s="63">
        <f>'Regnskab og budget'!K10</f>
        <v>0</v>
      </c>
      <c r="F5">
        <v>1</v>
      </c>
      <c r="G5" t="str">
        <f>IF(E5&lt;=0,"Kredit","")</f>
        <v>Kredit</v>
      </c>
      <c r="H5" s="71">
        <v>0</v>
      </c>
    </row>
    <row r="6" spans="1:8" ht="15">
      <c r="A6" s="90">
        <f>Saldobalance!A15</f>
        <v>1311</v>
      </c>
      <c r="B6" s="62">
        <f>'Regnskab og budget'!$F$2</f>
        <v>41275</v>
      </c>
      <c r="C6" s="62">
        <f>'Regnskab og budget'!$H$2</f>
        <v>41639</v>
      </c>
      <c r="D6" s="20" t="str">
        <f>'Regnskab og budget'!A19</f>
        <v>Rep maskine og anlæg</v>
      </c>
      <c r="E6" s="63">
        <f>'Regnskab og budget'!J19</f>
        <v>25000</v>
      </c>
      <c r="F6">
        <v>1</v>
      </c>
      <c r="G6">
        <f t="shared" si="0"/>
      </c>
      <c r="H6" s="71">
        <v>0</v>
      </c>
    </row>
    <row r="7" spans="1:8" ht="15">
      <c r="A7" s="90">
        <f>Saldobalance!A16</f>
        <v>1312</v>
      </c>
      <c r="B7" s="62">
        <f>'Regnskab og budget'!$F$2</f>
        <v>41275</v>
      </c>
      <c r="C7" s="62">
        <f>'Regnskab og budget'!$H$2</f>
        <v>41639</v>
      </c>
      <c r="D7" s="20" t="str">
        <f>'Regnskab og budget'!A20</f>
        <v>Rep og service Gasfyr</v>
      </c>
      <c r="E7" s="63">
        <f>'Regnskab og budget'!J20</f>
        <v>20000</v>
      </c>
      <c r="F7">
        <v>1</v>
      </c>
      <c r="G7">
        <f t="shared" si="0"/>
      </c>
      <c r="H7" s="71">
        <v>0</v>
      </c>
    </row>
    <row r="8" spans="1:8" ht="15">
      <c r="A8" s="90">
        <f>Saldobalance!A17</f>
        <v>1313</v>
      </c>
      <c r="B8" s="62">
        <f>'Regnskab og budget'!$F$2</f>
        <v>41275</v>
      </c>
      <c r="C8" s="62">
        <f>'Regnskab og budget'!$H$2</f>
        <v>41639</v>
      </c>
      <c r="D8" s="20" t="str">
        <f>'Regnskab og budget'!A21</f>
        <v>Rep. vaskeriet</v>
      </c>
      <c r="E8" s="63">
        <f>'Regnskab og budget'!J21</f>
        <v>25000</v>
      </c>
      <c r="F8">
        <v>1</v>
      </c>
      <c r="G8">
        <f t="shared" si="0"/>
      </c>
      <c r="H8" s="71">
        <v>0</v>
      </c>
    </row>
    <row r="9" spans="1:8" ht="15">
      <c r="A9" s="90">
        <f>Saldobalance!A18</f>
        <v>1314</v>
      </c>
      <c r="B9" s="62">
        <f>'Regnskab og budget'!$F$2</f>
        <v>41275</v>
      </c>
      <c r="C9" s="62">
        <f>'Regnskab og budget'!$H$2</f>
        <v>41639</v>
      </c>
      <c r="D9" s="20" t="str">
        <f>'Regnskab og budget'!A22</f>
        <v>Indv. vedl. FÆ-hus</v>
      </c>
      <c r="E9" s="63">
        <f>'Regnskab og budget'!J22</f>
        <v>12000</v>
      </c>
      <c r="F9">
        <v>1</v>
      </c>
      <c r="G9">
        <f t="shared" si="0"/>
      </c>
      <c r="H9" s="71">
        <v>0</v>
      </c>
    </row>
    <row r="10" spans="1:8" ht="15">
      <c r="A10" s="90">
        <f>Saldobalance!A19</f>
        <v>1315</v>
      </c>
      <c r="B10" s="62">
        <f>'Regnskab og budget'!$F$2</f>
        <v>41275</v>
      </c>
      <c r="C10" s="62">
        <f>'Regnskab og budget'!$H$2</f>
        <v>41639</v>
      </c>
      <c r="D10" s="20" t="str">
        <f>'Regnskab og budget'!A23</f>
        <v>Udv. vedl. FÆ-hus</v>
      </c>
      <c r="E10" s="63">
        <f>'Regnskab og budget'!J23</f>
        <v>6000</v>
      </c>
      <c r="F10">
        <v>1</v>
      </c>
      <c r="G10">
        <f t="shared" si="0"/>
      </c>
      <c r="H10" s="71">
        <v>0</v>
      </c>
    </row>
    <row r="11" spans="1:8" ht="15">
      <c r="A11" s="90">
        <f>Saldobalance!A20</f>
        <v>1316</v>
      </c>
      <c r="B11" s="62">
        <f>'Regnskab og budget'!$F$2</f>
        <v>41275</v>
      </c>
      <c r="C11" s="62">
        <f>'Regnskab og budget'!$H$2</f>
        <v>41639</v>
      </c>
      <c r="D11" s="20" t="str">
        <f>'Regnskab og budget'!A24</f>
        <v>Vedl. fællesarealer</v>
      </c>
      <c r="E11" s="63">
        <f>'Regnskab og budget'!J24</f>
        <v>30000</v>
      </c>
      <c r="F11">
        <v>1</v>
      </c>
      <c r="G11">
        <f t="shared" si="0"/>
      </c>
      <c r="H11" s="71">
        <v>0</v>
      </c>
    </row>
    <row r="12" spans="1:8" ht="15">
      <c r="A12" s="90">
        <f>Saldobalance!A21</f>
        <v>1317</v>
      </c>
      <c r="B12" s="62">
        <f>'Regnskab og budget'!$F$2</f>
        <v>41275</v>
      </c>
      <c r="C12" s="62">
        <f>'Regnskab og budget'!$H$2</f>
        <v>41639</v>
      </c>
      <c r="D12" s="20" t="str">
        <f>'Regnskab og budget'!A25</f>
        <v>Snerydning</v>
      </c>
      <c r="E12" s="63">
        <f>'Regnskab og budget'!J25</f>
        <v>21000</v>
      </c>
      <c r="F12">
        <v>1</v>
      </c>
      <c r="G12">
        <f t="shared" si="0"/>
      </c>
      <c r="H12" s="71">
        <v>0</v>
      </c>
    </row>
    <row r="13" spans="1:8" ht="15">
      <c r="A13" s="90">
        <f>Saldobalance!A25</f>
        <v>1321</v>
      </c>
      <c r="B13" s="62">
        <f>'Regnskab og budget'!$F$2</f>
        <v>41275</v>
      </c>
      <c r="C13" s="62">
        <f>'Regnskab og budget'!$H$2</f>
        <v>41639</v>
      </c>
      <c r="D13" s="20" t="str">
        <f>'Regnskab og budget'!A28</f>
        <v>Inventar</v>
      </c>
      <c r="E13" s="63">
        <f>'Regnskab og budget'!J28</f>
        <v>2000</v>
      </c>
      <c r="F13">
        <v>1</v>
      </c>
      <c r="G13">
        <f t="shared" si="0"/>
      </c>
      <c r="H13" s="71">
        <v>0</v>
      </c>
    </row>
    <row r="14" spans="1:8" ht="15">
      <c r="A14" s="90">
        <f>Saldobalance!A26</f>
        <v>1322</v>
      </c>
      <c r="B14" s="62">
        <f>'Regnskab og budget'!$F$2</f>
        <v>41275</v>
      </c>
      <c r="C14" s="62">
        <f>'Regnskab og budget'!$H$2</f>
        <v>41639</v>
      </c>
      <c r="D14" s="20" t="str">
        <f>'Regnskab og budget'!A29</f>
        <v>Køkkenudstyr</v>
      </c>
      <c r="E14" s="63">
        <f>'Regnskab og budget'!J29</f>
        <v>9000</v>
      </c>
      <c r="F14">
        <v>1</v>
      </c>
      <c r="G14">
        <f t="shared" si="0"/>
      </c>
      <c r="H14" s="71">
        <v>0</v>
      </c>
    </row>
    <row r="15" spans="1:8" ht="15">
      <c r="A15" s="90">
        <f>Saldobalance!A27</f>
        <v>1323</v>
      </c>
      <c r="B15" s="62">
        <f>'Regnskab og budget'!$F$2</f>
        <v>41275</v>
      </c>
      <c r="C15" s="62">
        <f>'Regnskab og budget'!$H$2</f>
        <v>41639</v>
      </c>
      <c r="D15" s="20" t="str">
        <f>'Regnskab og budget'!A30</f>
        <v>EL-artik, pærer mv</v>
      </c>
      <c r="E15" s="63">
        <f>'Regnskab og budget'!J30</f>
        <v>3000</v>
      </c>
      <c r="F15">
        <v>1</v>
      </c>
      <c r="G15">
        <f t="shared" si="0"/>
      </c>
      <c r="H15" s="71">
        <v>0</v>
      </c>
    </row>
    <row r="16" spans="1:8" ht="15">
      <c r="A16" s="90">
        <f>Saldobalance!A28</f>
        <v>1324</v>
      </c>
      <c r="B16" s="62">
        <f>'Regnskab og budget'!$F$2</f>
        <v>41275</v>
      </c>
      <c r="C16" s="62">
        <f>'Regnskab og budget'!$H$2</f>
        <v>41639</v>
      </c>
      <c r="D16" s="20" t="str">
        <f>'Regnskab og budget'!A31</f>
        <v>Rengøringsmidler/-artikler</v>
      </c>
      <c r="E16" s="63">
        <f>'Regnskab og budget'!J31</f>
        <v>25000</v>
      </c>
      <c r="F16">
        <v>1</v>
      </c>
      <c r="G16">
        <f t="shared" si="0"/>
      </c>
      <c r="H16" s="71">
        <v>0</v>
      </c>
    </row>
    <row r="17" spans="1:8" ht="15">
      <c r="A17" s="90">
        <f>Saldobalance!A29</f>
        <v>1325</v>
      </c>
      <c r="B17" s="62">
        <f>'Regnskab og budget'!$F$2</f>
        <v>41275</v>
      </c>
      <c r="C17" s="62">
        <f>'Regnskab og budget'!$H$2</f>
        <v>41639</v>
      </c>
      <c r="D17" s="20" t="str">
        <f>'Regnskab og budget'!A32</f>
        <v>Lys, blomster</v>
      </c>
      <c r="E17" s="63">
        <f>'Regnskab og budget'!J32</f>
        <v>1200</v>
      </c>
      <c r="F17">
        <v>1</v>
      </c>
      <c r="G17">
        <f t="shared" si="0"/>
      </c>
      <c r="H17" s="71">
        <v>0</v>
      </c>
    </row>
    <row r="18" spans="1:8" ht="15">
      <c r="A18" s="90">
        <f>Saldobalance!A30</f>
        <v>1326</v>
      </c>
      <c r="B18" s="62">
        <f>'Regnskab og budget'!$F$2</f>
        <v>41275</v>
      </c>
      <c r="C18" s="62">
        <f>'Regnskab og budget'!$H$2</f>
        <v>41639</v>
      </c>
      <c r="D18" s="20" t="str">
        <f>'Regnskab og budget'!A33</f>
        <v>Krydderier</v>
      </c>
      <c r="E18" s="63">
        <f>'Regnskab og budget'!J33</f>
        <v>2000</v>
      </c>
      <c r="F18">
        <v>1</v>
      </c>
      <c r="G18">
        <f t="shared" si="0"/>
      </c>
      <c r="H18" s="71">
        <v>0</v>
      </c>
    </row>
    <row r="19" spans="1:8" ht="15">
      <c r="A19" s="90">
        <f>Saldobalance!A31</f>
        <v>1327</v>
      </c>
      <c r="B19" s="62">
        <f>'Regnskab og budget'!$F$2</f>
        <v>41275</v>
      </c>
      <c r="C19" s="62">
        <f>'Regnskab og budget'!$H$2</f>
        <v>41639</v>
      </c>
      <c r="D19" s="20" t="str">
        <f>'Regnskab og budget'!A34</f>
        <v>Diverse Fælleshus</v>
      </c>
      <c r="E19" s="63">
        <f>'Regnskab og budget'!J34</f>
        <v>2000</v>
      </c>
      <c r="F19">
        <v>1</v>
      </c>
      <c r="G19">
        <f t="shared" si="0"/>
      </c>
      <c r="H19" s="71">
        <v>0</v>
      </c>
    </row>
    <row r="20" spans="1:8" ht="15">
      <c r="A20" s="90">
        <f>Saldobalance!A35</f>
        <v>1331</v>
      </c>
      <c r="B20" s="62">
        <f>'Regnskab og budget'!$F$2</f>
        <v>41275</v>
      </c>
      <c r="C20" s="62">
        <f>'Regnskab og budget'!$H$2</f>
        <v>41639</v>
      </c>
      <c r="D20" s="20" t="str">
        <f>'Regnskab og budget'!A37</f>
        <v>Gaver</v>
      </c>
      <c r="E20" s="63">
        <f>'Regnskab og budget'!J37</f>
        <v>10000</v>
      </c>
      <c r="F20">
        <v>1</v>
      </c>
      <c r="G20">
        <f t="shared" si="0"/>
      </c>
      <c r="H20" s="71">
        <v>0</v>
      </c>
    </row>
    <row r="21" spans="1:8" ht="15">
      <c r="A21" s="90">
        <f>Saldobalance!A36</f>
        <v>1332</v>
      </c>
      <c r="B21" s="62">
        <f>'Regnskab og budget'!$F$2</f>
        <v>41275</v>
      </c>
      <c r="C21" s="62">
        <f>'Regnskab og budget'!$H$2</f>
        <v>41639</v>
      </c>
      <c r="D21" s="20" t="str">
        <f>'Regnskab og budget'!A38</f>
        <v>Fester/kultur</v>
      </c>
      <c r="E21" s="63">
        <f>'Regnskab og budget'!J38</f>
        <v>9000</v>
      </c>
      <c r="F21">
        <v>1</v>
      </c>
      <c r="G21">
        <f t="shared" si="0"/>
      </c>
      <c r="H21" s="71">
        <v>0</v>
      </c>
    </row>
    <row r="22" spans="1:8" ht="15">
      <c r="A22" s="90">
        <f>Saldobalance!A37</f>
        <v>1333</v>
      </c>
      <c r="B22" s="62">
        <f>'Regnskab og budget'!$F$2</f>
        <v>41275</v>
      </c>
      <c r="C22" s="62">
        <f>'Regnskab og budget'!$H$2</f>
        <v>41639</v>
      </c>
      <c r="D22" s="20" t="str">
        <f>'Regnskab og budget'!A39</f>
        <v>Fortæring arbejdsweekends</v>
      </c>
      <c r="E22" s="63">
        <f>'Regnskab og budget'!J39</f>
        <v>10000</v>
      </c>
      <c r="F22">
        <v>1</v>
      </c>
      <c r="G22">
        <f t="shared" si="0"/>
      </c>
      <c r="H22" s="71">
        <v>0</v>
      </c>
    </row>
    <row r="23" spans="1:8" ht="15">
      <c r="A23" s="90">
        <f>Saldobalance!A38</f>
        <v>1334</v>
      </c>
      <c r="B23" s="62">
        <f>'Regnskab og budget'!$F$2</f>
        <v>41275</v>
      </c>
      <c r="C23" s="62">
        <f>'Regnskab og budget'!$H$2</f>
        <v>41639</v>
      </c>
      <c r="D23" s="20" t="str">
        <f>'Regnskab og budget'!A40</f>
        <v>Fortæring generalforsamling</v>
      </c>
      <c r="E23" s="63">
        <f>'Regnskab og budget'!J40</f>
        <v>2000</v>
      </c>
      <c r="F23">
        <v>1</v>
      </c>
      <c r="G23">
        <f t="shared" si="0"/>
      </c>
      <c r="H23" s="71">
        <v>0</v>
      </c>
    </row>
    <row r="24" spans="1:8" ht="15">
      <c r="A24" s="90">
        <f>Saldobalance!A39</f>
        <v>1335</v>
      </c>
      <c r="B24" s="62">
        <f>'Regnskab og budget'!$F$2</f>
        <v>41275</v>
      </c>
      <c r="C24" s="62">
        <f>'Regnskab og budget'!$H$2</f>
        <v>41639</v>
      </c>
      <c r="D24" s="20" t="str">
        <f>'Regnskab og budget'!A41</f>
        <v>Adventsarrangementer</v>
      </c>
      <c r="E24" s="63">
        <f>'Regnskab og budget'!J41</f>
        <v>4000</v>
      </c>
      <c r="F24">
        <v>1</v>
      </c>
      <c r="G24">
        <f t="shared" si="0"/>
      </c>
      <c r="H24" s="71">
        <v>0</v>
      </c>
    </row>
    <row r="25" spans="1:8" ht="15">
      <c r="A25" s="90">
        <f>Saldobalance!A40</f>
        <v>1336</v>
      </c>
      <c r="B25" s="62">
        <f>'Regnskab og budget'!$F$2</f>
        <v>41275</v>
      </c>
      <c r="C25" s="62">
        <f>'Regnskab og budget'!$H$2</f>
        <v>41639</v>
      </c>
      <c r="D25" s="20" t="str">
        <f>'Regnskab og budget'!A42</f>
        <v>Fastelavn</v>
      </c>
      <c r="E25" s="63">
        <f>'Regnskab og budget'!J42</f>
        <v>2000</v>
      </c>
      <c r="F25">
        <v>1</v>
      </c>
      <c r="G25">
        <f t="shared" si="0"/>
      </c>
      <c r="H25" s="71">
        <v>0</v>
      </c>
    </row>
    <row r="26" spans="1:8" ht="15">
      <c r="A26" s="90">
        <f>Saldobalance!A41</f>
        <v>1337</v>
      </c>
      <c r="B26" s="62">
        <f>'Regnskab og budget'!$F$2</f>
        <v>41275</v>
      </c>
      <c r="C26" s="62">
        <f>'Regnskab og budget'!$H$2</f>
        <v>41639</v>
      </c>
      <c r="D26" s="20" t="str">
        <f>'Regnskab og budget'!A43</f>
        <v>Cafemøder</v>
      </c>
      <c r="E26" s="63">
        <f>'Regnskab og budget'!J43</f>
        <v>1000</v>
      </c>
      <c r="F26">
        <v>1</v>
      </c>
      <c r="G26">
        <f t="shared" si="0"/>
      </c>
      <c r="H26" s="71">
        <v>0</v>
      </c>
    </row>
    <row r="27" spans="1:8" ht="15">
      <c r="A27" s="90">
        <f>Saldobalance!A42</f>
        <v>1338</v>
      </c>
      <c r="B27" s="62">
        <f>'Regnskab og budget'!$F$2</f>
        <v>41275</v>
      </c>
      <c r="C27" s="62">
        <f>'Regnskab og budget'!$H$2</f>
        <v>41639</v>
      </c>
      <c r="D27" s="20" t="str">
        <f>'Regnskab og budget'!A44</f>
        <v>Bakkeweekend</v>
      </c>
      <c r="E27" s="63">
        <f>'Regnskab og budget'!J44</f>
        <v>25000</v>
      </c>
      <c r="F27">
        <v>1</v>
      </c>
      <c r="G27">
        <f t="shared" si="0"/>
      </c>
      <c r="H27" s="71">
        <v>0</v>
      </c>
    </row>
    <row r="28" spans="1:8" ht="15">
      <c r="A28" s="90">
        <f>Saldobalance!A43</f>
        <v>1339</v>
      </c>
      <c r="B28" s="62">
        <f>'Regnskab og budget'!$F$2</f>
        <v>41275</v>
      </c>
      <c r="C28" s="62">
        <f>'Regnskab og budget'!$H$2</f>
        <v>41639</v>
      </c>
      <c r="D28" s="20" t="str">
        <f>'Regnskab og budget'!A45</f>
        <v>Skt. Hans</v>
      </c>
      <c r="E28" s="63">
        <f>'Regnskab og budget'!J45</f>
        <v>1000</v>
      </c>
      <c r="F28">
        <v>1</v>
      </c>
      <c r="G28">
        <f t="shared" si="0"/>
      </c>
      <c r="H28" s="71">
        <v>0</v>
      </c>
    </row>
    <row r="29" spans="1:8" ht="15">
      <c r="A29" s="90">
        <f>Saldobalance!A48</f>
        <v>1351</v>
      </c>
      <c r="B29" s="62">
        <f>'Regnskab og budget'!$F$2</f>
        <v>41275</v>
      </c>
      <c r="C29" s="62">
        <f>'Regnskab og budget'!$H$2</f>
        <v>41639</v>
      </c>
      <c r="D29" s="20" t="str">
        <f>'Regnskab og budget'!A48</f>
        <v>Telefon / bredbånd</v>
      </c>
      <c r="E29" s="63">
        <f>'Regnskab og budget'!J48</f>
        <v>4000</v>
      </c>
      <c r="F29">
        <v>1</v>
      </c>
      <c r="G29">
        <f t="shared" si="0"/>
      </c>
      <c r="H29" s="71">
        <v>0</v>
      </c>
    </row>
    <row r="30" spans="1:8" ht="15">
      <c r="A30" s="90">
        <f>Saldobalance!A49</f>
        <v>1352</v>
      </c>
      <c r="B30" s="62">
        <f>'Regnskab og budget'!$F$2</f>
        <v>41275</v>
      </c>
      <c r="C30" s="62">
        <f>'Regnskab og budget'!$H$2</f>
        <v>41639</v>
      </c>
      <c r="D30" s="20" t="str">
        <f>'Regnskab og budget'!A49</f>
        <v>TV + licens</v>
      </c>
      <c r="E30" s="63">
        <f>'Regnskab og budget'!J49</f>
        <v>5000</v>
      </c>
      <c r="F30">
        <v>1</v>
      </c>
      <c r="G30">
        <f t="shared" si="0"/>
      </c>
      <c r="H30" s="71">
        <v>0</v>
      </c>
    </row>
    <row r="31" spans="1:8" ht="15">
      <c r="A31" s="90">
        <f>Saldobalance!A50</f>
        <v>1353</v>
      </c>
      <c r="B31" s="62">
        <f>'Regnskab og budget'!$F$2</f>
        <v>41275</v>
      </c>
      <c r="C31" s="62">
        <f>'Regnskab og budget'!$H$2</f>
        <v>41639</v>
      </c>
      <c r="D31" s="20" t="str">
        <f>'Regnskab og budget'!A50</f>
        <v>Hjemmeside/e-mail</v>
      </c>
      <c r="E31" s="63">
        <f>'Regnskab og budget'!J50</f>
        <v>2000</v>
      </c>
      <c r="F31">
        <v>1</v>
      </c>
      <c r="G31">
        <f t="shared" si="0"/>
      </c>
      <c r="H31" s="71">
        <v>0</v>
      </c>
    </row>
    <row r="32" spans="1:8" ht="15">
      <c r="A32" s="90">
        <f>Saldobalance!A51</f>
        <v>1355</v>
      </c>
      <c r="B32" s="62">
        <f>'Regnskab og budget'!$F$2</f>
        <v>41275</v>
      </c>
      <c r="C32" s="62">
        <f>'Regnskab og budget'!$H$2</f>
        <v>41639</v>
      </c>
      <c r="D32" s="20" t="str">
        <f>'Regnskab og budget'!A51</f>
        <v>Aviser og tidsskrifter</v>
      </c>
      <c r="E32" s="63">
        <f>'Regnskab og budget'!J51</f>
        <v>1000</v>
      </c>
      <c r="F32">
        <v>1</v>
      </c>
      <c r="G32">
        <f t="shared" si="0"/>
      </c>
      <c r="H32" s="71">
        <v>0</v>
      </c>
    </row>
    <row r="33" spans="1:8" ht="15">
      <c r="A33" s="90">
        <f>Saldobalance!A55</f>
        <v>1361</v>
      </c>
      <c r="B33" s="62">
        <f>'Regnskab og budget'!$F$2</f>
        <v>41275</v>
      </c>
      <c r="C33" s="62">
        <f>'Regnskab og budget'!$H$2</f>
        <v>41639</v>
      </c>
      <c r="D33" s="20" t="str">
        <f>'Regnskab og budget'!A54</f>
        <v>Asfalt</v>
      </c>
      <c r="E33" s="63">
        <f>'Regnskab og budget'!J54</f>
        <v>16000</v>
      </c>
      <c r="F33">
        <v>1</v>
      </c>
      <c r="G33">
        <f aca="true" t="shared" si="1" ref="G33:G38">IF(E33&lt;0,"Kredit","")</f>
      </c>
      <c r="H33" s="71">
        <v>0</v>
      </c>
    </row>
    <row r="34" spans="1:8" ht="15">
      <c r="A34" s="90">
        <f>Saldobalance!A56</f>
        <v>1362</v>
      </c>
      <c r="B34" s="62">
        <f>'Regnskab og budget'!$F$2</f>
        <v>41275</v>
      </c>
      <c r="C34" s="62">
        <f>'Regnskab og budget'!$H$2</f>
        <v>41639</v>
      </c>
      <c r="D34" s="20" t="str">
        <f>'Regnskab og budget'!A55</f>
        <v>Salg af Gården</v>
      </c>
      <c r="E34" s="63">
        <f>'Regnskab og budget'!J55</f>
        <v>5000</v>
      </c>
      <c r="F34">
        <v>1</v>
      </c>
      <c r="G34">
        <f t="shared" si="1"/>
      </c>
      <c r="H34" s="71">
        <v>0</v>
      </c>
    </row>
    <row r="35" spans="1:8" ht="15">
      <c r="A35" s="90">
        <f>Saldobalance!A57</f>
        <v>1363</v>
      </c>
      <c r="B35" s="62">
        <f>'Regnskab og budget'!$F$2</f>
        <v>41275</v>
      </c>
      <c r="C35" s="62">
        <f>'Regnskab og budget'!$H$2</f>
        <v>41639</v>
      </c>
      <c r="D35" s="20" t="str">
        <f>'Regnskab og budget'!A56</f>
        <v>Kolbøtten</v>
      </c>
      <c r="E35" s="63">
        <f>'Regnskab og budget'!J56</f>
        <v>70000</v>
      </c>
      <c r="F35">
        <v>1</v>
      </c>
      <c r="G35">
        <f t="shared" si="1"/>
      </c>
      <c r="H35" s="71">
        <v>0</v>
      </c>
    </row>
    <row r="36" spans="1:8" ht="15">
      <c r="A36" s="90">
        <f>Saldobalance!A58</f>
        <v>1364</v>
      </c>
      <c r="B36" s="62">
        <f>'Regnskab og budget'!$F$2</f>
        <v>41275</v>
      </c>
      <c r="C36" s="62">
        <f>'Regnskab og budget'!$H$2</f>
        <v>41639</v>
      </c>
      <c r="D36" s="20" t="str">
        <f>'Regnskab og budget'!A57</f>
        <v>Fælleshustorvet</v>
      </c>
      <c r="E36" s="63">
        <f>'Regnskab og budget'!J57</f>
        <v>0</v>
      </c>
      <c r="F36">
        <v>1</v>
      </c>
      <c r="G36">
        <f t="shared" si="1"/>
      </c>
      <c r="H36" s="71">
        <v>0</v>
      </c>
    </row>
    <row r="37" spans="1:8" ht="15">
      <c r="A37" s="90">
        <f>Saldobalance!A59</f>
        <v>1365</v>
      </c>
      <c r="B37" s="62">
        <f>'Regnskab og budget'!$F$2</f>
        <v>41275</v>
      </c>
      <c r="C37" s="62">
        <f>'Regnskab og budget'!$H$2</f>
        <v>41639</v>
      </c>
      <c r="D37" s="20" t="str">
        <f>'Regnskab og budget'!A58</f>
        <v>Svællemuren</v>
      </c>
      <c r="E37" s="63">
        <f>'Regnskab og budget'!J58</f>
        <v>0</v>
      </c>
      <c r="F37">
        <v>1</v>
      </c>
      <c r="G37">
        <f t="shared" si="1"/>
      </c>
      <c r="H37" s="71">
        <v>0</v>
      </c>
    </row>
    <row r="38" spans="1:8" ht="15">
      <c r="A38" s="90">
        <f>Saldobalance!A60</f>
        <v>1366</v>
      </c>
      <c r="B38" s="62">
        <f>'Regnskab og budget'!$F$2</f>
        <v>41275</v>
      </c>
      <c r="C38" s="62">
        <f>'Regnskab og budget'!$H$2</f>
        <v>41639</v>
      </c>
      <c r="D38" s="20" t="str">
        <f>'Regnskab og budget'!A59</f>
        <v>Fælleshusfornyelsen</v>
      </c>
      <c r="E38" s="63">
        <f>'Regnskab og budget'!J59</f>
        <v>36000</v>
      </c>
      <c r="F38">
        <v>1</v>
      </c>
      <c r="G38">
        <f t="shared" si="1"/>
      </c>
      <c r="H38" s="71">
        <v>0</v>
      </c>
    </row>
    <row r="39" spans="1:8" ht="15">
      <c r="A39" s="90">
        <f>Saldobalance!A61</f>
        <v>1367</v>
      </c>
      <c r="B39" s="62">
        <f>'Regnskab og budget'!$F$2</f>
        <v>41275</v>
      </c>
      <c r="C39" s="62">
        <f>'Regnskab og budget'!$H$2</f>
        <v>41639</v>
      </c>
      <c r="D39" s="20" t="str">
        <f>'Regnskab og budget'!A60</f>
        <v>Energnisterne</v>
      </c>
      <c r="E39" s="63">
        <f>'Regnskab og budget'!J60</f>
        <v>10000</v>
      </c>
      <c r="F39">
        <v>1</v>
      </c>
      <c r="G39">
        <f>IF(E39&lt;0,"Kredit","")</f>
      </c>
      <c r="H39" s="71">
        <v>0</v>
      </c>
    </row>
    <row r="40" spans="1:8" ht="15">
      <c r="A40" s="90">
        <f>Saldobalance!A66</f>
        <v>1372</v>
      </c>
      <c r="B40" s="62">
        <f>'Regnskab og budget'!$F$2</f>
        <v>41275</v>
      </c>
      <c r="C40" s="62">
        <f>'Regnskab og budget'!$H$2</f>
        <v>41639</v>
      </c>
      <c r="D40" s="20" t="str">
        <f>'Regnskab og budget'!A61</f>
        <v>Uspecificerede projekter</v>
      </c>
      <c r="E40" s="63">
        <f>'Regnskab og budget'!J61</f>
        <v>0</v>
      </c>
      <c r="F40">
        <v>1</v>
      </c>
      <c r="G40">
        <f>IF(E40&lt;0,"Kredit","")</f>
      </c>
      <c r="H40" s="71">
        <v>0</v>
      </c>
    </row>
    <row r="41" spans="1:8" ht="15">
      <c r="A41" s="90">
        <f>Saldobalance!A67</f>
        <v>1373</v>
      </c>
      <c r="B41" s="62">
        <f>'Regnskab og budget'!$F$2</f>
        <v>41275</v>
      </c>
      <c r="C41" s="62">
        <f>'Regnskab og budget'!$H$2</f>
        <v>41639</v>
      </c>
      <c r="D41" s="20" t="str">
        <f>'Regnskab og budget'!A62</f>
        <v>Overført fra opsparringen</v>
      </c>
      <c r="E41" s="63">
        <f>'Regnskab og budget'!J62</f>
        <v>-93000</v>
      </c>
      <c r="F41">
        <v>1</v>
      </c>
      <c r="G41" t="str">
        <f>IF(E41&lt;0,"Kredit","")</f>
        <v>Kredit</v>
      </c>
      <c r="H41" s="71">
        <v>0</v>
      </c>
    </row>
    <row r="42" spans="1:8" ht="15">
      <c r="A42" s="90">
        <f>Saldobalance!A69</f>
        <v>1376</v>
      </c>
      <c r="B42" s="62">
        <f>'Regnskab og budget'!$F$2</f>
        <v>41275</v>
      </c>
      <c r="C42" s="62">
        <f>'Regnskab og budget'!$H$2</f>
        <v>41639</v>
      </c>
      <c r="D42" s="20" t="str">
        <f>'Regnskab og budget'!A64</f>
        <v>Nyanskaffelse</v>
      </c>
      <c r="E42" s="63">
        <f>'Regnskab og budget'!K64</f>
        <v>35000</v>
      </c>
      <c r="F42">
        <v>1</v>
      </c>
      <c r="G42">
        <f t="shared" si="0"/>
      </c>
      <c r="H42" s="71">
        <v>0</v>
      </c>
    </row>
    <row r="43" spans="1:8" ht="15">
      <c r="A43" s="90">
        <f>Saldobalance!A70</f>
        <v>1378</v>
      </c>
      <c r="B43" s="62">
        <f>'Regnskab og budget'!$F$2</f>
        <v>41275</v>
      </c>
      <c r="C43" s="62">
        <f>'Regnskab og budget'!$H$2</f>
        <v>41639</v>
      </c>
      <c r="D43" s="20" t="str">
        <f>'Regnskab og budget'!A66</f>
        <v>Markedsføring</v>
      </c>
      <c r="E43" s="63">
        <f>'Regnskab og budget'!K66</f>
        <v>3000</v>
      </c>
      <c r="F43">
        <v>1</v>
      </c>
      <c r="G43">
        <f t="shared" si="0"/>
      </c>
      <c r="H43" s="71">
        <v>0</v>
      </c>
    </row>
    <row r="44" spans="1:8" ht="15">
      <c r="A44" s="90">
        <f>Saldobalance!A73</f>
        <v>1382</v>
      </c>
      <c r="B44" s="62">
        <f>'Regnskab og budget'!$F$2</f>
        <v>41275</v>
      </c>
      <c r="C44" s="62">
        <f>'Regnskab og budget'!$H$2</f>
        <v>41639</v>
      </c>
      <c r="D44" s="20" t="str">
        <f>'Regnskab og budget'!A69</f>
        <v>Salg af fåreprodukter (Brutto)</v>
      </c>
      <c r="E44" s="63">
        <f>'Regnskab og budget'!K69</f>
        <v>-22000</v>
      </c>
      <c r="F44">
        <v>1</v>
      </c>
      <c r="G44" t="str">
        <f t="shared" si="0"/>
        <v>Kredit</v>
      </c>
      <c r="H44" s="71">
        <v>0</v>
      </c>
    </row>
    <row r="45" spans="1:8" ht="15">
      <c r="A45" s="90">
        <f>Saldobalance!A74</f>
        <v>1383</v>
      </c>
      <c r="B45" s="62">
        <f>'Regnskab og budget'!$F$2</f>
        <v>41275</v>
      </c>
      <c r="C45" s="62">
        <f>'Regnskab og budget'!$H$2</f>
        <v>41639</v>
      </c>
      <c r="D45" s="20" t="str">
        <f>'Regnskab og budget'!A70</f>
        <v>Rabat på fåreprodukter</v>
      </c>
      <c r="E45" s="63">
        <f>'Regnskab og budget'!J70</f>
        <v>2000</v>
      </c>
      <c r="F45">
        <v>1</v>
      </c>
      <c r="G45">
        <f>IF(E45&lt;0,"Kredit","")</f>
      </c>
      <c r="H45" s="71">
        <v>0</v>
      </c>
    </row>
    <row r="46" spans="1:8" ht="15">
      <c r="A46" s="90">
        <f>Saldobalance!A75</f>
        <v>1384</v>
      </c>
      <c r="B46" s="62">
        <f>'Regnskab og budget'!$F$2</f>
        <v>41275</v>
      </c>
      <c r="C46" s="62">
        <f>'Regnskab og budget'!$H$2</f>
        <v>41639</v>
      </c>
      <c r="D46" s="20" t="str">
        <f>'Regnskab og budget'!A71</f>
        <v>Løbende udgifter/får</v>
      </c>
      <c r="E46" s="63">
        <f>'Regnskab og budget'!J71</f>
        <v>26000</v>
      </c>
      <c r="F46">
        <v>1</v>
      </c>
      <c r="G46">
        <f t="shared" si="0"/>
      </c>
      <c r="H46" s="71">
        <v>0</v>
      </c>
    </row>
    <row r="47" spans="1:8" ht="15">
      <c r="A47" s="90">
        <f>Saldobalance!A76</f>
        <v>1392</v>
      </c>
      <c r="B47" s="62">
        <f>'Regnskab og budget'!$F$2</f>
        <v>41275</v>
      </c>
      <c r="C47" s="62">
        <f>'Regnskab og budget'!$H$2</f>
        <v>41639</v>
      </c>
      <c r="D47" s="20" t="str">
        <f>'Regnskab og budget'!A72</f>
        <v>Engangsudgifter/får</v>
      </c>
      <c r="E47" s="63">
        <f>'Regnskab og budget'!J72</f>
        <v>6000</v>
      </c>
      <c r="F47">
        <v>1</v>
      </c>
      <c r="G47">
        <f t="shared" si="0"/>
      </c>
      <c r="H47" s="71">
        <v>0</v>
      </c>
    </row>
    <row r="48" spans="1:8" ht="15">
      <c r="A48" s="90">
        <f>Saldobalance!A77</f>
        <v>1397</v>
      </c>
      <c r="B48" s="62">
        <f>'Regnskab og budget'!$F$2</f>
        <v>41275</v>
      </c>
      <c r="C48" s="62">
        <f>'Regnskab og budget'!$H$2</f>
        <v>41639</v>
      </c>
      <c r="D48" s="20" t="str">
        <f>'Regnskab og budget'!A73</f>
        <v>Årets udvikling/får</v>
      </c>
      <c r="E48" s="63">
        <f>'Regnskab og budget'!J73</f>
        <v>2000</v>
      </c>
      <c r="F48">
        <v>1</v>
      </c>
      <c r="G48">
        <f t="shared" si="0"/>
      </c>
      <c r="H48" s="71">
        <v>0</v>
      </c>
    </row>
    <row r="49" spans="1:8" ht="15">
      <c r="A49" s="90">
        <f>Saldobalance!A81</f>
        <v>1410</v>
      </c>
      <c r="B49" s="62">
        <f>'Regnskab og budget'!$F$2</f>
        <v>41275</v>
      </c>
      <c r="C49" s="62">
        <f>'Regnskab og budget'!$H$2</f>
        <v>41639</v>
      </c>
      <c r="D49" s="20" t="str">
        <f>'Regnskab og budget'!A76</f>
        <v>Huslejeopkrævet</v>
      </c>
      <c r="E49" s="63">
        <f>'Regnskab og budget'!K76</f>
        <v>-135360</v>
      </c>
      <c r="F49">
        <v>1</v>
      </c>
      <c r="G49" t="str">
        <f t="shared" si="0"/>
        <v>Kredit</v>
      </c>
      <c r="H49" s="71">
        <v>0</v>
      </c>
    </row>
    <row r="50" spans="1:8" ht="15">
      <c r="A50" s="90">
        <f>Saldobalance!A82</f>
        <v>1420</v>
      </c>
      <c r="B50" s="62">
        <f>'Regnskab og budget'!$F$2</f>
        <v>41275</v>
      </c>
      <c r="C50" s="62">
        <f>'Regnskab og budget'!$H$2</f>
        <v>41639</v>
      </c>
      <c r="D50" s="20" t="str">
        <f>Saldobalance!B82</f>
        <v>Ikke længere i brug</v>
      </c>
      <c r="E50" s="63">
        <v>0</v>
      </c>
      <c r="F50">
        <v>1</v>
      </c>
      <c r="G50">
        <f t="shared" si="0"/>
      </c>
      <c r="H50" s="71">
        <v>0</v>
      </c>
    </row>
    <row r="51" spans="1:8" ht="15">
      <c r="A51" s="90">
        <f>Saldobalance!A83</f>
        <v>1425</v>
      </c>
      <c r="B51" s="62">
        <f>'Regnskab og budget'!$F$2</f>
        <v>41275</v>
      </c>
      <c r="C51" s="62">
        <f>'Regnskab og budget'!$H$2</f>
        <v>41639</v>
      </c>
      <c r="D51" s="20" t="str">
        <f>'Regnskab og budget'!A77</f>
        <v>EL opkrævet</v>
      </c>
      <c r="E51" s="63">
        <f>'Regnskab og budget'!K77</f>
        <v>-10000</v>
      </c>
      <c r="F51">
        <v>1</v>
      </c>
      <c r="G51" t="str">
        <f t="shared" si="0"/>
        <v>Kredit</v>
      </c>
      <c r="H51" s="71">
        <v>0</v>
      </c>
    </row>
    <row r="52" spans="1:8" ht="15">
      <c r="A52" s="90">
        <f>Saldobalance!A84</f>
        <v>1427</v>
      </c>
      <c r="B52" s="62">
        <f>'Regnskab og budget'!$F$2</f>
        <v>41275</v>
      </c>
      <c r="C52" s="62">
        <f>'Regnskab og budget'!$H$2</f>
        <v>41639</v>
      </c>
      <c r="D52" s="20" t="str">
        <f>'Regnskab og budget'!A78</f>
        <v>DONG - EL</v>
      </c>
      <c r="E52" s="63">
        <f>'Regnskab og budget'!J78</f>
        <v>10000</v>
      </c>
      <c r="F52">
        <v>1</v>
      </c>
      <c r="G52">
        <f t="shared" si="0"/>
      </c>
      <c r="H52" s="71">
        <v>0</v>
      </c>
    </row>
    <row r="53" spans="1:8" ht="15">
      <c r="A53" s="90">
        <f>Saldobalance!A85</f>
        <v>1430</v>
      </c>
      <c r="B53" s="62">
        <f>'Regnskab og budget'!$F$2</f>
        <v>41275</v>
      </c>
      <c r="C53" s="62">
        <f>'Regnskab og budget'!$H$2</f>
        <v>41639</v>
      </c>
      <c r="D53" s="20" t="str">
        <f>'Regnskab og budget'!A79</f>
        <v>GEF</v>
      </c>
      <c r="E53" s="63">
        <f>'Regnskab og budget'!J79</f>
        <v>46656</v>
      </c>
      <c r="F53">
        <v>1</v>
      </c>
      <c r="G53">
        <f t="shared" si="0"/>
      </c>
      <c r="H53" s="71">
        <v>0</v>
      </c>
    </row>
    <row r="54" spans="1:8" ht="15">
      <c r="A54" s="90">
        <f>Saldobalance!A86</f>
        <v>1440</v>
      </c>
      <c r="B54" s="62">
        <f>'Regnskab og budget'!$F$2</f>
        <v>41275</v>
      </c>
      <c r="C54" s="62">
        <f>'Regnskab og budget'!$H$2</f>
        <v>41639</v>
      </c>
      <c r="D54" s="20" t="str">
        <f>'Regnskab og budget'!A80</f>
        <v>Renovation</v>
      </c>
      <c r="E54" s="63">
        <f>'Regnskab og budget'!J80</f>
        <v>3340</v>
      </c>
      <c r="F54">
        <v>1</v>
      </c>
      <c r="G54">
        <f t="shared" si="0"/>
      </c>
      <c r="H54" s="71">
        <v>0</v>
      </c>
    </row>
    <row r="55" spans="1:8" ht="15">
      <c r="A55" s="90">
        <f>Saldobalance!A87</f>
        <v>1450</v>
      </c>
      <c r="B55" s="62">
        <f>'Regnskab og budget'!$F$2</f>
        <v>41275</v>
      </c>
      <c r="C55" s="62">
        <f>'Regnskab og budget'!$H$2</f>
        <v>41639</v>
      </c>
      <c r="D55" s="20" t="str">
        <f>'Regnskab og budget'!A81</f>
        <v>Ejendomsskat</v>
      </c>
      <c r="E55" s="63">
        <f>'Regnskab og budget'!J81</f>
        <v>37195.34</v>
      </c>
      <c r="F55">
        <v>1</v>
      </c>
      <c r="G55">
        <f t="shared" si="0"/>
      </c>
      <c r="H55" s="71">
        <v>0</v>
      </c>
    </row>
    <row r="56" spans="1:8" ht="15">
      <c r="A56" s="90">
        <f>Saldobalance!A88</f>
        <v>1460</v>
      </c>
      <c r="B56" s="62">
        <f>'Regnskab og budget'!$F$2</f>
        <v>41275</v>
      </c>
      <c r="C56" s="62">
        <f>'Regnskab og budget'!$H$2</f>
        <v>41639</v>
      </c>
      <c r="D56" s="20" t="str">
        <f>'Regnskab og budget'!A82</f>
        <v>Forsikringer - 4.318.305.792</v>
      </c>
      <c r="E56" s="63">
        <f>'Regnskab og budget'!J82</f>
        <v>9000</v>
      </c>
      <c r="F56">
        <v>1</v>
      </c>
      <c r="G56">
        <f t="shared" si="0"/>
      </c>
      <c r="H56" s="71">
        <v>0</v>
      </c>
    </row>
    <row r="57" spans="1:8" ht="15">
      <c r="A57" s="90">
        <f>Saldobalance!A89</f>
        <v>1470</v>
      </c>
      <c r="B57" s="62">
        <f>'Regnskab og budget'!$F$2</f>
        <v>41275</v>
      </c>
      <c r="C57" s="62">
        <f>'Regnskab og budget'!$H$2</f>
        <v>41639</v>
      </c>
      <c r="D57" s="20" t="str">
        <f>'Regnskab og budget'!A83</f>
        <v>Udv. Vedligehold Gården</v>
      </c>
      <c r="E57" s="63">
        <f>'Regnskab og budget'!J83</f>
        <v>4000</v>
      </c>
      <c r="F57">
        <v>1</v>
      </c>
      <c r="G57">
        <f t="shared" si="0"/>
      </c>
      <c r="H57" s="71">
        <v>0</v>
      </c>
    </row>
    <row r="58" spans="1:8" ht="15">
      <c r="A58" s="90">
        <f>Saldobalance!A90</f>
        <v>1480</v>
      </c>
      <c r="B58" s="62">
        <f>'Regnskab og budget'!$F$2</f>
        <v>41275</v>
      </c>
      <c r="C58" s="62">
        <f>'Regnskab og budget'!$H$2</f>
        <v>41639</v>
      </c>
      <c r="D58" s="20" t="str">
        <f>'Regnskab og budget'!A84</f>
        <v>Indv. Vedligehold Gården</v>
      </c>
      <c r="E58" s="63">
        <f>'Regnskab og budget'!J84</f>
        <v>15000</v>
      </c>
      <c r="F58">
        <v>1</v>
      </c>
      <c r="G58">
        <f t="shared" si="0"/>
      </c>
      <c r="H58" s="71">
        <v>0</v>
      </c>
    </row>
    <row r="59" spans="1:8" ht="15">
      <c r="A59" s="90">
        <f>Saldobalance!A94</f>
        <v>1997</v>
      </c>
      <c r="B59" s="62">
        <f>'Regnskab og budget'!$F$2</f>
        <v>41275</v>
      </c>
      <c r="C59" s="62">
        <f>'Regnskab og budget'!$H$2</f>
        <v>41639</v>
      </c>
      <c r="D59" s="20" t="str">
        <f>'Regnskab og budget'!A86</f>
        <v>Diverse variable udgifter</v>
      </c>
      <c r="E59" s="63">
        <f>'Regnskab og budget'!K86</f>
        <v>0</v>
      </c>
      <c r="F59">
        <v>1</v>
      </c>
      <c r="G59">
        <f t="shared" si="0"/>
      </c>
      <c r="H59" s="71">
        <v>0</v>
      </c>
    </row>
    <row r="60" spans="1:8" ht="15">
      <c r="A60" s="90">
        <f>Saldobalance!A99</f>
        <v>2210</v>
      </c>
      <c r="B60" s="62">
        <f>'Regnskab og budget'!$F$2</f>
        <v>41275</v>
      </c>
      <c r="C60" s="62">
        <f>'Regnskab og budget'!$H$2</f>
        <v>41639</v>
      </c>
      <c r="D60" s="20" t="str">
        <f>'Regnskab og budget'!A94</f>
        <v>Ejendomsskat</v>
      </c>
      <c r="E60" s="63">
        <f>'Regnskab og budget'!K94</f>
        <v>41966.28</v>
      </c>
      <c r="F60">
        <v>1</v>
      </c>
      <c r="G60">
        <f t="shared" si="0"/>
      </c>
      <c r="H60" s="71">
        <v>0</v>
      </c>
    </row>
    <row r="61" spans="1:8" ht="15">
      <c r="A61" s="90">
        <f>Saldobalance!A100</f>
        <v>2220</v>
      </c>
      <c r="B61" s="62">
        <f>'Regnskab og budget'!$F$2</f>
        <v>41275</v>
      </c>
      <c r="C61" s="62">
        <f>'Regnskab og budget'!$H$2</f>
        <v>41639</v>
      </c>
      <c r="D61" s="20" t="str">
        <f>'Regnskab og budget'!A96</f>
        <v>Forsikringer</v>
      </c>
      <c r="E61" s="63">
        <f>'Regnskab og budget'!K96</f>
        <v>38000</v>
      </c>
      <c r="F61">
        <v>1</v>
      </c>
      <c r="G61">
        <f t="shared" si="0"/>
      </c>
      <c r="H61" s="71">
        <v>0</v>
      </c>
    </row>
    <row r="62" spans="1:8" ht="15">
      <c r="A62" s="90">
        <f>Saldobalance!A103</f>
        <v>2231</v>
      </c>
      <c r="B62" s="62">
        <f>'Regnskab og budget'!$F$2</f>
        <v>41275</v>
      </c>
      <c r="C62" s="62">
        <f>'Regnskab og budget'!$H$2</f>
        <v>41639</v>
      </c>
      <c r="D62" s="20" t="str">
        <f>'Regnskab og budget'!A99</f>
        <v>7AV - Stuehuset + Østlængen</v>
      </c>
      <c r="E62" s="63">
        <f>'Regnskab og budget'!J99</f>
        <v>29275.35191211661</v>
      </c>
      <c r="F62">
        <v>1</v>
      </c>
      <c r="G62">
        <f t="shared" si="0"/>
      </c>
      <c r="H62" s="71">
        <v>0</v>
      </c>
    </row>
    <row r="63" spans="1:8" ht="15">
      <c r="A63" s="90">
        <f>Saldobalance!A104</f>
        <v>2232</v>
      </c>
      <c r="B63" s="62">
        <f>'Regnskab og budget'!$F$2</f>
        <v>41275</v>
      </c>
      <c r="C63" s="62">
        <f>'Regnskab og budget'!$H$2</f>
        <v>41639</v>
      </c>
      <c r="D63" s="20" t="str">
        <f>'Regnskab og budget'!A100</f>
        <v>Komfur &amp; Ovn, ????</v>
      </c>
      <c r="E63" s="63">
        <f>'Regnskab og budget'!J100</f>
        <v>10039.433106815231</v>
      </c>
      <c r="F63">
        <v>1</v>
      </c>
      <c r="G63">
        <f t="shared" si="0"/>
      </c>
      <c r="H63" s="71">
        <v>0</v>
      </c>
    </row>
    <row r="64" spans="1:8" ht="15">
      <c r="A64" s="90">
        <f>Saldobalance!A105</f>
        <v>2233</v>
      </c>
      <c r="B64" s="62">
        <f>'Regnskab og budget'!$F$2</f>
        <v>41275</v>
      </c>
      <c r="C64" s="62">
        <f>'Regnskab og budget'!$H$2</f>
        <v>41639</v>
      </c>
      <c r="D64" s="20" t="str">
        <f>'Regnskab og budget'!A101</f>
        <v>Fyrudskiftning, 1999</v>
      </c>
      <c r="E64" s="63">
        <f>'Regnskab og budget'!J101</f>
        <v>172513.29309346108</v>
      </c>
      <c r="F64">
        <v>1</v>
      </c>
      <c r="G64">
        <f t="shared" si="0"/>
      </c>
      <c r="H64" s="71">
        <v>0</v>
      </c>
    </row>
    <row r="65" spans="1:8" ht="15">
      <c r="A65" s="90">
        <f>Saldobalance!A106</f>
        <v>2234</v>
      </c>
      <c r="B65" s="62">
        <f>'Regnskab og budget'!$F$2</f>
        <v>41275</v>
      </c>
      <c r="C65" s="62">
        <f>'Regnskab og budget'!$H$2</f>
        <v>41639</v>
      </c>
      <c r="D65" s="20" t="str">
        <f>'Regnskab og budget'!A102</f>
        <v>Tørretumbler, 1999</v>
      </c>
      <c r="E65" s="63">
        <f>'Regnskab og budget'!J102</f>
        <v>6442.718925913117</v>
      </c>
      <c r="F65">
        <v>1</v>
      </c>
      <c r="G65">
        <f t="shared" si="0"/>
      </c>
      <c r="H65" s="71">
        <v>0</v>
      </c>
    </row>
    <row r="66" spans="1:8" ht="15">
      <c r="A66" s="90">
        <f>Saldobalance!A107</f>
        <v>2235</v>
      </c>
      <c r="B66" s="62">
        <f>'Regnskab og budget'!$F$2</f>
        <v>41275</v>
      </c>
      <c r="C66" s="62">
        <f>'Regnskab og budget'!$H$2</f>
        <v>41639</v>
      </c>
      <c r="D66" s="20" t="str">
        <f>'Regnskab og budget'!A103</f>
        <v>Vaskemaskiner, 2011</v>
      </c>
      <c r="E66" s="63">
        <f>'Regnskab og budget'!J103</f>
        <v>7855</v>
      </c>
      <c r="F66">
        <v>1</v>
      </c>
      <c r="G66">
        <f t="shared" si="0"/>
      </c>
      <c r="H66" s="71">
        <v>0</v>
      </c>
    </row>
    <row r="67" spans="1:8" ht="15">
      <c r="A67" s="90">
        <f>Saldobalance!A111</f>
        <v>2251</v>
      </c>
      <c r="B67" s="62">
        <f>'Regnskab og budget'!$F$2</f>
        <v>41275</v>
      </c>
      <c r="C67" s="62">
        <f>'Regnskab og budget'!$H$2</f>
        <v>41639</v>
      </c>
      <c r="D67" s="20" t="str">
        <f>'Regnskab og budget'!A106</f>
        <v>Nordea</v>
      </c>
      <c r="E67" s="63">
        <f>'Regnskab og budget'!J106</f>
        <v>2000</v>
      </c>
      <c r="F67">
        <v>1</v>
      </c>
      <c r="G67">
        <f t="shared" si="0"/>
      </c>
      <c r="H67" s="71">
        <v>0</v>
      </c>
    </row>
    <row r="68" spans="1:8" ht="15">
      <c r="A68" s="90">
        <f>Saldobalance!A114</f>
        <v>2258</v>
      </c>
      <c r="B68" s="62">
        <f>'Regnskab og budget'!$F$2</f>
        <v>41275</v>
      </c>
      <c r="C68" s="62">
        <f>'Regnskab og budget'!$H$2</f>
        <v>41639</v>
      </c>
      <c r="D68" s="20" t="str">
        <f>'Regnskab og budget'!A109</f>
        <v>Andre renter og gebyrer</v>
      </c>
      <c r="E68" s="63">
        <f>'Regnskab og budget'!J109</f>
        <v>0</v>
      </c>
      <c r="F68">
        <v>1</v>
      </c>
      <c r="G68">
        <f t="shared" si="0"/>
      </c>
      <c r="H68" s="71">
        <v>0</v>
      </c>
    </row>
    <row r="69" spans="1:8" ht="15">
      <c r="A69" s="90">
        <f>Saldobalance!A118</f>
        <v>2261</v>
      </c>
      <c r="B69" s="62">
        <f>'Regnskab og budget'!$F$2</f>
        <v>41275</v>
      </c>
      <c r="C69" s="62">
        <f>'Regnskab og budget'!$H$2</f>
        <v>41639</v>
      </c>
      <c r="D69" s="20" t="str">
        <f>'Regnskab og budget'!A112</f>
        <v>Renovation</v>
      </c>
      <c r="E69" s="63">
        <f>'Regnskab og budget'!J112</f>
        <v>10900</v>
      </c>
      <c r="F69">
        <v>1</v>
      </c>
      <c r="G69">
        <f t="shared" si="0"/>
      </c>
      <c r="H69" s="71">
        <v>0</v>
      </c>
    </row>
    <row r="70" spans="1:8" ht="15">
      <c r="A70" s="90">
        <f>Saldobalance!A119</f>
        <v>2262</v>
      </c>
      <c r="B70" s="62">
        <f>'Regnskab og budget'!$F$2</f>
        <v>41275</v>
      </c>
      <c r="C70" s="62">
        <f>'Regnskab og budget'!$H$2</f>
        <v>41639</v>
      </c>
      <c r="D70" s="20" t="str">
        <f>'Regnskab og budget'!A113</f>
        <v>EL</v>
      </c>
      <c r="E70" s="63">
        <f>'Regnskab og budget'!J113</f>
        <v>63200</v>
      </c>
      <c r="F70">
        <v>1</v>
      </c>
      <c r="G70">
        <f t="shared" si="0"/>
      </c>
      <c r="H70" s="71">
        <v>0</v>
      </c>
    </row>
    <row r="71" spans="1:8" ht="15">
      <c r="A71" s="90">
        <f>Saldobalance!A120</f>
        <v>2263</v>
      </c>
      <c r="B71" s="62">
        <f>'Regnskab og budget'!$F$2</f>
        <v>41275</v>
      </c>
      <c r="C71" s="62">
        <f>'Regnskab og budget'!$H$2</f>
        <v>41639</v>
      </c>
      <c r="D71" s="20" t="str">
        <f>'Regnskab og budget'!A114</f>
        <v>Varme / gas</v>
      </c>
      <c r="E71" s="63">
        <f>'Regnskab og budget'!J114</f>
        <v>44000</v>
      </c>
      <c r="F71">
        <v>1</v>
      </c>
      <c r="G71">
        <f t="shared" si="0"/>
      </c>
      <c r="H71" s="71">
        <v>0</v>
      </c>
    </row>
    <row r="72" spans="1:8" ht="15">
      <c r="A72" s="90">
        <f>Saldobalance!A121</f>
        <v>2264</v>
      </c>
      <c r="B72" s="62">
        <f>'Regnskab og budget'!$F$2</f>
        <v>41275</v>
      </c>
      <c r="C72" s="62">
        <f>'Regnskab og budget'!$H$2</f>
        <v>41639</v>
      </c>
      <c r="D72" s="20" t="str">
        <f>'Regnskab og budget'!A115</f>
        <v>Vand</v>
      </c>
      <c r="E72" s="63">
        <f>'Regnskab og budget'!J115</f>
        <v>19200</v>
      </c>
      <c r="F72">
        <v>1</v>
      </c>
      <c r="G72">
        <f t="shared" si="0"/>
      </c>
      <c r="H72" s="71">
        <v>0</v>
      </c>
    </row>
    <row r="73" spans="1:8" ht="15">
      <c r="A73" s="90">
        <f>Saldobalance!A122</f>
        <v>2265</v>
      </c>
      <c r="B73" s="62">
        <f>'Regnskab og budget'!$F$2</f>
        <v>41275</v>
      </c>
      <c r="C73" s="62">
        <f>'Regnskab og budget'!$H$2</f>
        <v>41639</v>
      </c>
      <c r="D73" s="20" t="str">
        <f>'Regnskab og budget'!A116</f>
        <v>Vask</v>
      </c>
      <c r="E73" s="63">
        <f>'Regnskab og budget'!J116</f>
        <v>3000</v>
      </c>
      <c r="F73">
        <v>1</v>
      </c>
      <c r="G73">
        <f t="shared" si="0"/>
      </c>
      <c r="H73" s="71">
        <v>0</v>
      </c>
    </row>
    <row r="74" spans="1:8" ht="15">
      <c r="A74" s="90">
        <f>Saldobalance!A126</f>
        <v>2271</v>
      </c>
      <c r="B74" s="62">
        <f>'Regnskab og budget'!$F$2</f>
        <v>41275</v>
      </c>
      <c r="C74" s="62">
        <f>'Regnskab og budget'!$H$2</f>
        <v>41639</v>
      </c>
      <c r="D74" s="20" t="str">
        <f>'Regnskab og budget'!A119</f>
        <v>Drift af bestyrelsen</v>
      </c>
      <c r="E74" s="63">
        <f>'Regnskab og budget'!J119</f>
        <v>3500</v>
      </c>
      <c r="F74">
        <v>1</v>
      </c>
      <c r="G74">
        <f t="shared" si="0"/>
      </c>
      <c r="H74" s="71">
        <v>0</v>
      </c>
    </row>
    <row r="75" spans="1:8" ht="15">
      <c r="A75" s="90">
        <f>Saldobalance!A127</f>
        <v>2272</v>
      </c>
      <c r="B75" s="62">
        <f>'Regnskab og budget'!$F$2</f>
        <v>41275</v>
      </c>
      <c r="C75" s="62">
        <f>'Regnskab og budget'!$H$2</f>
        <v>41639</v>
      </c>
      <c r="D75" s="20" t="str">
        <f>'Regnskab og budget'!A120</f>
        <v>Kontorartikler og Porto</v>
      </c>
      <c r="E75" s="63">
        <f>'Regnskab og budget'!J120</f>
        <v>1500</v>
      </c>
      <c r="F75">
        <v>1</v>
      </c>
      <c r="G75">
        <f aca="true" t="shared" si="2" ref="G75:G82">IF(E75&lt;0,"Kredit","")</f>
      </c>
      <c r="H75" s="71">
        <v>0</v>
      </c>
    </row>
    <row r="76" spans="1:8" ht="15">
      <c r="A76" s="90">
        <f>Saldobalance!A128</f>
        <v>2273</v>
      </c>
      <c r="B76" s="62">
        <f>'Regnskab og budget'!$F$2</f>
        <v>41275</v>
      </c>
      <c r="C76" s="62">
        <f>'Regnskab og budget'!$H$2</f>
        <v>41639</v>
      </c>
      <c r="D76" s="20" t="str">
        <f>'Regnskab og budget'!A121</f>
        <v>Økonomisystem</v>
      </c>
      <c r="E76" s="63">
        <f>'Regnskab og budget'!J121</f>
        <v>5500</v>
      </c>
      <c r="F76">
        <v>1</v>
      </c>
      <c r="G76">
        <f t="shared" si="2"/>
      </c>
      <c r="H76" s="71">
        <v>0</v>
      </c>
    </row>
    <row r="77" spans="1:8" ht="15">
      <c r="A77" s="90">
        <f>Saldobalance!A132</f>
        <v>2282</v>
      </c>
      <c r="B77" s="62">
        <f>'Regnskab og budget'!$F$2</f>
        <v>41275</v>
      </c>
      <c r="C77" s="62">
        <f>'Regnskab og budget'!$H$2</f>
        <v>41639</v>
      </c>
      <c r="D77" s="20" t="str">
        <f>'Regnskab og budget'!A124</f>
        <v>GEF-regnskab</v>
      </c>
      <c r="E77" s="63">
        <f>'Regnskab og budget'!J124</f>
        <v>21625</v>
      </c>
      <c r="F77">
        <v>1</v>
      </c>
      <c r="G77">
        <f t="shared" si="2"/>
      </c>
      <c r="H77" s="71">
        <v>0</v>
      </c>
    </row>
    <row r="78" spans="1:8" ht="15">
      <c r="A78" s="90">
        <f>Saldobalance!A133</f>
        <v>2284</v>
      </c>
      <c r="B78" s="62">
        <f>'Regnskab og budget'!$F$2</f>
        <v>41275</v>
      </c>
      <c r="C78" s="62">
        <f>'Regnskab og budget'!$H$2</f>
        <v>41639</v>
      </c>
      <c r="D78" s="20" t="str">
        <f>'Regnskab og budget'!A125</f>
        <v>IS-regnskab</v>
      </c>
      <c r="E78" s="63">
        <f>'Regnskab og budget'!J125</f>
        <v>8500</v>
      </c>
      <c r="F78">
        <v>1</v>
      </c>
      <c r="G78">
        <f t="shared" si="2"/>
      </c>
      <c r="H78" s="71">
        <v>0</v>
      </c>
    </row>
    <row r="79" spans="1:8" ht="15">
      <c r="A79" s="90">
        <f>Saldobalance!A137</f>
        <v>2292</v>
      </c>
      <c r="B79" s="62">
        <f>'Regnskab og budget'!$F$2</f>
        <v>41275</v>
      </c>
      <c r="C79" s="62">
        <f>'Regnskab og budget'!$H$2</f>
        <v>41639</v>
      </c>
      <c r="D79" s="20" t="str">
        <f>'Regnskab og budget'!A128</f>
        <v>Tab på Bofæller</v>
      </c>
      <c r="E79" s="63">
        <f>'Regnskab og budget'!J128</f>
        <v>0</v>
      </c>
      <c r="F79">
        <v>1</v>
      </c>
      <c r="G79">
        <f t="shared" si="2"/>
      </c>
      <c r="H79" s="71">
        <v>0</v>
      </c>
    </row>
    <row r="80" spans="1:8" ht="15">
      <c r="A80" s="90">
        <f>Saldobalance!A138</f>
        <v>2293</v>
      </c>
      <c r="B80" s="62">
        <f>'Regnskab og budget'!$F$2</f>
        <v>41275</v>
      </c>
      <c r="C80" s="62">
        <f>'Regnskab og budget'!$H$2</f>
        <v>41639</v>
      </c>
      <c r="D80" s="20" t="str">
        <f>'Regnskab og budget'!A129</f>
        <v>Øredifferencer</v>
      </c>
      <c r="E80" s="63">
        <f>'Regnskab og budget'!J129</f>
        <v>0</v>
      </c>
      <c r="F80">
        <v>1</v>
      </c>
      <c r="G80">
        <f t="shared" si="2"/>
      </c>
      <c r="H80" s="71">
        <v>0</v>
      </c>
    </row>
    <row r="81" spans="1:8" ht="15">
      <c r="A81" s="90">
        <f>Saldobalance!A139</f>
        <v>2294</v>
      </c>
      <c r="B81" s="62">
        <f>'Regnskab og budget'!$F$2</f>
        <v>41275</v>
      </c>
      <c r="C81" s="62">
        <f>'Regnskab og budget'!$H$2</f>
        <v>41639</v>
      </c>
      <c r="D81" s="20" t="str">
        <f>'Regnskab og budget'!A130</f>
        <v>Afrundingsfejl på Sol-projekt</v>
      </c>
      <c r="E81" s="63">
        <f>'Regnskab og budget'!J130</f>
        <v>84</v>
      </c>
      <c r="F81">
        <v>1</v>
      </c>
      <c r="G81">
        <f t="shared" si="2"/>
      </c>
      <c r="H81" s="71">
        <v>0</v>
      </c>
    </row>
    <row r="82" spans="1:8" ht="15">
      <c r="A82" s="90">
        <f>Saldobalance!A140</f>
        <v>2295</v>
      </c>
      <c r="B82" s="62">
        <f>'Regnskab og budget'!$F$2</f>
        <v>41275</v>
      </c>
      <c r="C82" s="62">
        <f>'Regnskab og budget'!$H$2</f>
        <v>41639</v>
      </c>
      <c r="D82" s="20" t="str">
        <f>'Regnskab og budget'!A131</f>
        <v>Diverse omkostninger</v>
      </c>
      <c r="E82" s="63">
        <f>'Regnskab og budget'!J131</f>
        <v>2000</v>
      </c>
      <c r="F82">
        <v>1</v>
      </c>
      <c r="G82">
        <f t="shared" si="2"/>
      </c>
      <c r="H82" s="71">
        <v>0</v>
      </c>
    </row>
    <row r="83" spans="1:8" ht="12.75">
      <c r="A83" s="90">
        <f>Saldobalance!A174</f>
        <v>3420</v>
      </c>
      <c r="B83" s="62">
        <f>'Regnskab og budget'!$F$2</f>
        <v>41275</v>
      </c>
      <c r="C83" s="62">
        <f>'Regnskab og budget'!$H$2</f>
        <v>41639</v>
      </c>
      <c r="D83" s="123" t="str">
        <f>Saldobalance!B180</f>
        <v>TV Fælleshuset</v>
      </c>
      <c r="E83" s="63">
        <v>0</v>
      </c>
      <c r="F83">
        <v>1</v>
      </c>
      <c r="G83" s="112" t="s">
        <v>27</v>
      </c>
      <c r="H83" s="63">
        <v>0</v>
      </c>
    </row>
  </sheetData>
  <sheetProtection/>
  <protectedRanges>
    <protectedRange sqref="H2:H82" name="Omr?de1"/>
  </protectedRange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44"/>
  <sheetViews>
    <sheetView zoomScalePageLayoutView="0" workbookViewId="0" topLeftCell="A34">
      <selection activeCell="A57" sqref="A57:IV57"/>
    </sheetView>
  </sheetViews>
  <sheetFormatPr defaultColWidth="9.140625" defaultRowHeight="12.75"/>
  <cols>
    <col min="1" max="1" width="8.140625" style="0" bestFit="1" customWidth="1"/>
    <col min="2" max="2" width="34.8515625" style="0" bestFit="1" customWidth="1"/>
    <col min="3" max="3" width="10.57421875" style="0" bestFit="1" customWidth="1"/>
    <col min="4" max="4" width="20.140625" style="0" bestFit="1" customWidth="1"/>
    <col min="5" max="5" width="11.00390625" style="0" bestFit="1" customWidth="1"/>
    <col min="6" max="6" width="11.8515625" style="0" bestFit="1" customWidth="1"/>
    <col min="7" max="7" width="10.28125" style="0" bestFit="1" customWidth="1"/>
    <col min="8" max="8" width="16.57421875" style="0" bestFit="1" customWidth="1"/>
    <col min="9" max="9" width="8.57421875" style="0" bestFit="1" customWidth="1"/>
    <col min="10" max="10" width="15.28125" style="0" bestFit="1" customWidth="1"/>
    <col min="11" max="12" width="6.57421875" style="0" bestFit="1" customWidth="1"/>
    <col min="13" max="13" width="16.421875" style="0" bestFit="1" customWidth="1"/>
  </cols>
  <sheetData>
    <row r="1" spans="1:13" ht="14.25">
      <c r="A1" s="59" t="s">
        <v>18</v>
      </c>
      <c r="B1" s="59" t="s">
        <v>94</v>
      </c>
      <c r="C1" s="59" t="s">
        <v>23</v>
      </c>
      <c r="D1" s="59" t="s">
        <v>95</v>
      </c>
      <c r="E1" s="59" t="s">
        <v>96</v>
      </c>
      <c r="F1" s="59" t="s">
        <v>24</v>
      </c>
      <c r="G1" s="59" t="s">
        <v>97</v>
      </c>
      <c r="H1" s="59" t="s">
        <v>98</v>
      </c>
      <c r="I1" s="59" t="s">
        <v>99</v>
      </c>
      <c r="J1" s="59" t="s">
        <v>100</v>
      </c>
      <c r="K1" s="59" t="s">
        <v>101</v>
      </c>
      <c r="L1" s="59" t="s">
        <v>102</v>
      </c>
      <c r="M1" s="59" t="s">
        <v>103</v>
      </c>
    </row>
    <row r="2" spans="1:3" ht="15">
      <c r="A2" s="77">
        <v>1000</v>
      </c>
      <c r="B2" s="78" t="s">
        <v>104</v>
      </c>
      <c r="C2">
        <v>5</v>
      </c>
    </row>
    <row r="3" spans="1:3" ht="15">
      <c r="A3" s="77">
        <v>1001</v>
      </c>
      <c r="B3" s="79" t="str">
        <f>Saldobalance!B5</f>
        <v>Fælles indtægter</v>
      </c>
      <c r="C3">
        <v>4</v>
      </c>
    </row>
    <row r="4" spans="1:6" ht="15">
      <c r="A4" s="79">
        <f>Saldobalance!A6</f>
        <v>1010</v>
      </c>
      <c r="B4" s="79" t="str">
        <f>Saldobalance!B6</f>
        <v>GEF ejerne</v>
      </c>
      <c r="C4">
        <v>1</v>
      </c>
      <c r="F4" t="s">
        <v>27</v>
      </c>
    </row>
    <row r="5" spans="1:6" ht="15">
      <c r="A5" s="79">
        <f>Saldobalance!A7</f>
        <v>1020</v>
      </c>
      <c r="B5" s="79" t="str">
        <f>Saldobalance!B7</f>
        <v>GEF lejerne</v>
      </c>
      <c r="C5">
        <v>1</v>
      </c>
      <c r="F5" t="s">
        <v>27</v>
      </c>
    </row>
    <row r="6" spans="1:6" ht="15">
      <c r="A6" s="79">
        <f>Saldobalance!A8</f>
        <v>1030</v>
      </c>
      <c r="B6" s="79" t="str">
        <f>Saldobalance!B8</f>
        <v>Rykkergebyr</v>
      </c>
      <c r="C6">
        <v>1</v>
      </c>
      <c r="F6" t="s">
        <v>27</v>
      </c>
    </row>
    <row r="7" spans="1:6" ht="15">
      <c r="A7" s="79">
        <f>Saldobalance!A9</f>
        <v>1040</v>
      </c>
      <c r="B7" s="79" t="str">
        <f>Saldobalance!B9</f>
        <v>Andre indtægter</v>
      </c>
      <c r="C7">
        <v>1</v>
      </c>
      <c r="F7" t="s">
        <v>27</v>
      </c>
    </row>
    <row r="8" spans="1:4" ht="15">
      <c r="A8" s="80">
        <v>1099</v>
      </c>
      <c r="B8" s="79" t="str">
        <f>Saldobalance!B10</f>
        <v>Fællesindtægter i alt</v>
      </c>
      <c r="C8">
        <v>6</v>
      </c>
      <c r="D8">
        <v>1000</v>
      </c>
    </row>
    <row r="9" spans="1:6" ht="15">
      <c r="A9" s="77">
        <v>1300</v>
      </c>
      <c r="B9" s="78" t="s">
        <v>106</v>
      </c>
      <c r="C9">
        <v>4</v>
      </c>
      <c r="F9" t="s">
        <v>107</v>
      </c>
    </row>
    <row r="10" spans="1:6" ht="15">
      <c r="A10" s="77">
        <v>1310</v>
      </c>
      <c r="B10" s="78" t="s">
        <v>108</v>
      </c>
      <c r="C10">
        <v>4</v>
      </c>
      <c r="F10" t="s">
        <v>107</v>
      </c>
    </row>
    <row r="11" spans="1:6" ht="15">
      <c r="A11" s="79">
        <f>Saldobalance!A15</f>
        <v>1311</v>
      </c>
      <c r="B11" s="79" t="str">
        <f>Saldobalance!B15</f>
        <v>Rep maskine og anlæg</v>
      </c>
      <c r="C11">
        <v>1</v>
      </c>
      <c r="F11" t="s">
        <v>107</v>
      </c>
    </row>
    <row r="12" spans="1:6" ht="15">
      <c r="A12" s="79">
        <f>Saldobalance!A16</f>
        <v>1312</v>
      </c>
      <c r="B12" s="79" t="str">
        <f>Saldobalance!B16</f>
        <v>Rep og service Gasfyr</v>
      </c>
      <c r="C12">
        <v>1</v>
      </c>
      <c r="F12" t="s">
        <v>107</v>
      </c>
    </row>
    <row r="13" spans="1:6" ht="15">
      <c r="A13" s="79">
        <f>Saldobalance!A17</f>
        <v>1313</v>
      </c>
      <c r="B13" s="79" t="str">
        <f>Saldobalance!B17</f>
        <v>Rep. vaskeriet</v>
      </c>
      <c r="C13">
        <v>1</v>
      </c>
      <c r="F13" t="s">
        <v>107</v>
      </c>
    </row>
    <row r="14" spans="1:6" ht="15">
      <c r="A14" s="79">
        <f>Saldobalance!A18</f>
        <v>1314</v>
      </c>
      <c r="B14" s="79" t="str">
        <f>Saldobalance!B18</f>
        <v>Indv. vedl. FÆ-hus</v>
      </c>
      <c r="C14">
        <v>1</v>
      </c>
      <c r="F14" t="s">
        <v>107</v>
      </c>
    </row>
    <row r="15" spans="1:6" ht="15">
      <c r="A15" s="79">
        <f>Saldobalance!A19</f>
        <v>1315</v>
      </c>
      <c r="B15" s="79" t="str">
        <f>Saldobalance!B19</f>
        <v>Udv. vedl. FÆ-hus</v>
      </c>
      <c r="C15">
        <v>1</v>
      </c>
      <c r="F15" t="s">
        <v>107</v>
      </c>
    </row>
    <row r="16" spans="1:6" ht="15">
      <c r="A16" s="79">
        <f>Saldobalance!A20</f>
        <v>1316</v>
      </c>
      <c r="B16" s="79" t="str">
        <f>Saldobalance!B20</f>
        <v>Vedl. fællesarealer</v>
      </c>
      <c r="C16">
        <v>1</v>
      </c>
      <c r="F16" t="s">
        <v>107</v>
      </c>
    </row>
    <row r="17" spans="1:3" ht="15">
      <c r="A17" s="79">
        <f>Saldobalance!A21</f>
        <v>1317</v>
      </c>
      <c r="B17" s="79" t="str">
        <f>Saldobalance!B21</f>
        <v>Snerydning</v>
      </c>
      <c r="C17">
        <v>1</v>
      </c>
    </row>
    <row r="18" spans="1:6" ht="15">
      <c r="A18" s="79">
        <v>1319</v>
      </c>
      <c r="B18" s="79" t="s">
        <v>109</v>
      </c>
      <c r="C18">
        <v>3</v>
      </c>
      <c r="D18">
        <v>1310</v>
      </c>
      <c r="F18" t="s">
        <v>107</v>
      </c>
    </row>
    <row r="19" spans="1:6" ht="15">
      <c r="A19" s="77">
        <v>1320</v>
      </c>
      <c r="B19" s="78" t="s">
        <v>110</v>
      </c>
      <c r="C19">
        <v>4</v>
      </c>
      <c r="F19" t="s">
        <v>107</v>
      </c>
    </row>
    <row r="20" spans="1:6" ht="15">
      <c r="A20" s="79">
        <f>Saldobalance!A25</f>
        <v>1321</v>
      </c>
      <c r="B20" s="79" t="str">
        <f>Saldobalance!B25</f>
        <v>Inventar</v>
      </c>
      <c r="C20">
        <v>1</v>
      </c>
      <c r="F20" t="s">
        <v>107</v>
      </c>
    </row>
    <row r="21" spans="1:6" ht="15">
      <c r="A21" s="79">
        <f>Saldobalance!A26</f>
        <v>1322</v>
      </c>
      <c r="B21" s="79" t="str">
        <f>Saldobalance!B26</f>
        <v>Køkkenudstyr</v>
      </c>
      <c r="C21">
        <v>1</v>
      </c>
      <c r="F21" t="s">
        <v>107</v>
      </c>
    </row>
    <row r="22" spans="1:6" ht="15">
      <c r="A22" s="79">
        <f>Saldobalance!A27</f>
        <v>1323</v>
      </c>
      <c r="B22" s="79" t="str">
        <f>Saldobalance!B27</f>
        <v>EL-artik, pærer mv</v>
      </c>
      <c r="C22">
        <v>1</v>
      </c>
      <c r="F22" t="s">
        <v>107</v>
      </c>
    </row>
    <row r="23" spans="1:6" ht="15">
      <c r="A23" s="79">
        <f>Saldobalance!A28</f>
        <v>1324</v>
      </c>
      <c r="B23" s="79" t="str">
        <f>Saldobalance!B28</f>
        <v>Rengøringsmidler/-artikler</v>
      </c>
      <c r="C23">
        <v>1</v>
      </c>
      <c r="F23" t="s">
        <v>107</v>
      </c>
    </row>
    <row r="24" spans="1:6" ht="15">
      <c r="A24" s="79">
        <f>Saldobalance!A29</f>
        <v>1325</v>
      </c>
      <c r="B24" s="79" t="str">
        <f>Saldobalance!B29</f>
        <v>Lys, blomster</v>
      </c>
      <c r="C24">
        <v>1</v>
      </c>
      <c r="F24" t="s">
        <v>107</v>
      </c>
    </row>
    <row r="25" spans="1:6" ht="15">
      <c r="A25" s="79">
        <f>Saldobalance!A30</f>
        <v>1326</v>
      </c>
      <c r="B25" s="79" t="str">
        <f>Saldobalance!B30</f>
        <v>Krydderier</v>
      </c>
      <c r="C25">
        <v>1</v>
      </c>
      <c r="F25" t="s">
        <v>107</v>
      </c>
    </row>
    <row r="26" spans="1:6" ht="15">
      <c r="A26" s="79">
        <f>Saldobalance!A31</f>
        <v>1327</v>
      </c>
      <c r="B26" s="79" t="str">
        <f>Saldobalance!B31</f>
        <v>Diverse Fælleshus</v>
      </c>
      <c r="C26">
        <v>1</v>
      </c>
      <c r="F26" t="s">
        <v>107</v>
      </c>
    </row>
    <row r="27" spans="1:6" ht="15">
      <c r="A27" s="80">
        <v>1329</v>
      </c>
      <c r="B27" s="81" t="s">
        <v>111</v>
      </c>
      <c r="C27">
        <v>3</v>
      </c>
      <c r="D27">
        <v>1320</v>
      </c>
      <c r="F27" t="s">
        <v>107</v>
      </c>
    </row>
    <row r="28" spans="1:6" ht="15">
      <c r="A28" s="77">
        <v>1330</v>
      </c>
      <c r="B28" s="78" t="s">
        <v>112</v>
      </c>
      <c r="C28">
        <v>4</v>
      </c>
      <c r="F28" t="s">
        <v>107</v>
      </c>
    </row>
    <row r="29" spans="1:6" ht="15">
      <c r="A29" s="79">
        <f>Saldobalance!A35</f>
        <v>1331</v>
      </c>
      <c r="B29" s="79" t="str">
        <f>Saldobalance!B35</f>
        <v>Gaver</v>
      </c>
      <c r="C29">
        <v>1</v>
      </c>
      <c r="F29" t="s">
        <v>107</v>
      </c>
    </row>
    <row r="30" spans="1:6" ht="15">
      <c r="A30" s="79">
        <f>Saldobalance!A36</f>
        <v>1332</v>
      </c>
      <c r="B30" s="79" t="str">
        <f>Saldobalance!B36</f>
        <v>Fester/kultur</v>
      </c>
      <c r="C30">
        <v>1</v>
      </c>
      <c r="F30" t="s">
        <v>107</v>
      </c>
    </row>
    <row r="31" spans="1:6" ht="15">
      <c r="A31" s="79">
        <f>Saldobalance!A37</f>
        <v>1333</v>
      </c>
      <c r="B31" s="79" t="str">
        <f>Saldobalance!B37</f>
        <v>Fortæring arbejdsweekends</v>
      </c>
      <c r="C31">
        <v>1</v>
      </c>
      <c r="F31" t="s">
        <v>107</v>
      </c>
    </row>
    <row r="32" spans="1:6" ht="15">
      <c r="A32" s="79">
        <f>Saldobalance!A38</f>
        <v>1334</v>
      </c>
      <c r="B32" s="79" t="str">
        <f>Saldobalance!B38</f>
        <v>Fortæring generalforsamling</v>
      </c>
      <c r="C32">
        <v>1</v>
      </c>
      <c r="F32" t="s">
        <v>107</v>
      </c>
    </row>
    <row r="33" spans="1:6" ht="15">
      <c r="A33" s="79">
        <f>Saldobalance!A39</f>
        <v>1335</v>
      </c>
      <c r="B33" s="79" t="str">
        <f>Saldobalance!B39</f>
        <v>Adventsarrangementer</v>
      </c>
      <c r="C33">
        <v>1</v>
      </c>
      <c r="F33" t="s">
        <v>107</v>
      </c>
    </row>
    <row r="34" spans="1:6" ht="15">
      <c r="A34" s="79">
        <f>Saldobalance!A40</f>
        <v>1336</v>
      </c>
      <c r="B34" s="79" t="str">
        <f>Saldobalance!B40</f>
        <v>Fastelavn</v>
      </c>
      <c r="C34">
        <v>1</v>
      </c>
      <c r="F34" t="s">
        <v>107</v>
      </c>
    </row>
    <row r="35" spans="1:6" ht="15">
      <c r="A35" s="79">
        <f>Saldobalance!A41</f>
        <v>1337</v>
      </c>
      <c r="B35" s="79" t="str">
        <f>Saldobalance!B41</f>
        <v>Cafemøder</v>
      </c>
      <c r="C35">
        <v>1</v>
      </c>
      <c r="F35" t="s">
        <v>107</v>
      </c>
    </row>
    <row r="36" spans="1:6" ht="15">
      <c r="A36" s="79">
        <f>Saldobalance!A42</f>
        <v>1338</v>
      </c>
      <c r="B36" s="79" t="str">
        <f>Saldobalance!B42</f>
        <v>Bakkeweekend</v>
      </c>
      <c r="C36">
        <v>1</v>
      </c>
      <c r="F36" t="s">
        <v>107</v>
      </c>
    </row>
    <row r="37" spans="1:6" ht="15">
      <c r="A37" s="79">
        <f>Saldobalance!A43</f>
        <v>1339</v>
      </c>
      <c r="B37" s="79" t="str">
        <f>Saldobalance!B43</f>
        <v>Skt. Hans</v>
      </c>
      <c r="C37">
        <v>1</v>
      </c>
      <c r="F37" t="s">
        <v>107</v>
      </c>
    </row>
    <row r="38" spans="1:6" ht="15">
      <c r="A38" s="79">
        <f>Saldobalance!A44</f>
        <v>1340</v>
      </c>
      <c r="B38" s="79" t="str">
        <f>Saldobalance!B44</f>
        <v>Kultur - udgået</v>
      </c>
      <c r="C38">
        <v>1</v>
      </c>
      <c r="F38" t="s">
        <v>107</v>
      </c>
    </row>
    <row r="39" spans="1:6" ht="15">
      <c r="A39" s="80">
        <v>1349</v>
      </c>
      <c r="B39" s="81" t="s">
        <v>193</v>
      </c>
      <c r="C39">
        <v>3</v>
      </c>
      <c r="D39">
        <v>1330</v>
      </c>
      <c r="F39" t="s">
        <v>107</v>
      </c>
    </row>
    <row r="40" spans="1:6" ht="15">
      <c r="A40" s="77">
        <v>1350</v>
      </c>
      <c r="B40" s="78" t="s">
        <v>113</v>
      </c>
      <c r="C40">
        <v>4</v>
      </c>
      <c r="F40" t="s">
        <v>107</v>
      </c>
    </row>
    <row r="41" spans="1:6" ht="15">
      <c r="A41" s="79">
        <f>Saldobalance!A48</f>
        <v>1351</v>
      </c>
      <c r="B41" s="79" t="str">
        <f>Saldobalance!B48</f>
        <v>Telefon / bredbånd</v>
      </c>
      <c r="C41">
        <v>1</v>
      </c>
      <c r="F41" t="s">
        <v>107</v>
      </c>
    </row>
    <row r="42" spans="1:6" ht="15">
      <c r="A42" s="79">
        <f>Saldobalance!A49</f>
        <v>1352</v>
      </c>
      <c r="B42" s="79" t="str">
        <f>Saldobalance!B49</f>
        <v>TV + licens</v>
      </c>
      <c r="C42">
        <v>1</v>
      </c>
      <c r="F42" t="s">
        <v>107</v>
      </c>
    </row>
    <row r="43" spans="1:6" ht="15">
      <c r="A43" s="79">
        <f>Saldobalance!A50</f>
        <v>1353</v>
      </c>
      <c r="B43" s="79" t="str">
        <f>Saldobalance!B50</f>
        <v>Hjemmeside/e-mail</v>
      </c>
      <c r="C43">
        <v>1</v>
      </c>
      <c r="F43" t="s">
        <v>107</v>
      </c>
    </row>
    <row r="44" spans="1:3" ht="15">
      <c r="A44" s="79">
        <f>Saldobalance!A51</f>
        <v>1355</v>
      </c>
      <c r="B44" s="79" t="str">
        <f>Saldobalance!B51</f>
        <v>Aviser og tidsskrifter</v>
      </c>
      <c r="C44">
        <v>1</v>
      </c>
    </row>
    <row r="45" spans="1:6" ht="15">
      <c r="A45" s="79">
        <v>1359</v>
      </c>
      <c r="B45" s="81" t="s">
        <v>114</v>
      </c>
      <c r="C45">
        <v>3</v>
      </c>
      <c r="D45">
        <v>1350</v>
      </c>
      <c r="F45" t="s">
        <v>107</v>
      </c>
    </row>
    <row r="46" spans="1:6" ht="15">
      <c r="A46" s="77">
        <v>1360</v>
      </c>
      <c r="B46" s="78" t="s">
        <v>313</v>
      </c>
      <c r="C46">
        <v>4</v>
      </c>
      <c r="F46" t="s">
        <v>107</v>
      </c>
    </row>
    <row r="47" spans="1:6" ht="15">
      <c r="A47" s="79">
        <f>Saldobalance!A55</f>
        <v>1361</v>
      </c>
      <c r="B47" s="79" t="str">
        <f>Saldobalance!B55</f>
        <v>Asfalt</v>
      </c>
      <c r="C47">
        <v>1</v>
      </c>
      <c r="F47" t="s">
        <v>107</v>
      </c>
    </row>
    <row r="48" spans="1:6" ht="15">
      <c r="A48" s="79">
        <f>Saldobalance!A56</f>
        <v>1362</v>
      </c>
      <c r="B48" s="79" t="str">
        <f>Saldobalance!B56</f>
        <v>Salg af Gården</v>
      </c>
      <c r="C48">
        <v>1</v>
      </c>
      <c r="F48" t="s">
        <v>107</v>
      </c>
    </row>
    <row r="49" spans="1:6" ht="15">
      <c r="A49" s="79">
        <f>Saldobalance!A57</f>
        <v>1363</v>
      </c>
      <c r="B49" s="79" t="str">
        <f>Saldobalance!B57</f>
        <v>Kolbøtten</v>
      </c>
      <c r="C49">
        <v>1</v>
      </c>
      <c r="F49" s="112" t="s">
        <v>107</v>
      </c>
    </row>
    <row r="50" spans="1:6" ht="15">
      <c r="A50" s="79">
        <f>Saldobalance!A58</f>
        <v>1364</v>
      </c>
      <c r="B50" s="79" t="str">
        <f>Saldobalance!B58</f>
        <v>Fælleshustorvet</v>
      </c>
      <c r="C50">
        <v>1</v>
      </c>
      <c r="F50" s="112" t="s">
        <v>107</v>
      </c>
    </row>
    <row r="51" spans="1:6" ht="15">
      <c r="A51" s="79">
        <f>Saldobalance!A59</f>
        <v>1365</v>
      </c>
      <c r="B51" s="79" t="str">
        <f>Saldobalance!B59</f>
        <v>Svællemuren</v>
      </c>
      <c r="C51">
        <v>1</v>
      </c>
      <c r="F51" s="112" t="s">
        <v>107</v>
      </c>
    </row>
    <row r="52" spans="1:6" ht="15">
      <c r="A52" s="79">
        <f>Saldobalance!A60</f>
        <v>1366</v>
      </c>
      <c r="B52" s="79" t="str">
        <f>Saldobalance!B60</f>
        <v>Fælleshusfornyelsen</v>
      </c>
      <c r="C52">
        <v>1</v>
      </c>
      <c r="F52" s="112" t="s">
        <v>107</v>
      </c>
    </row>
    <row r="53" spans="1:6" ht="15">
      <c r="A53" s="79">
        <f>Saldobalance!A61</f>
        <v>1367</v>
      </c>
      <c r="B53" s="79" t="str">
        <f>Saldobalance!B61</f>
        <v>Energnisterne</v>
      </c>
      <c r="C53">
        <v>1</v>
      </c>
      <c r="F53" s="112" t="s">
        <v>107</v>
      </c>
    </row>
    <row r="54" spans="1:6" ht="15">
      <c r="A54" s="79">
        <f>Saldobalance!A62</f>
        <v>1368</v>
      </c>
      <c r="B54" s="79" t="str">
        <f>Saldobalance!B62</f>
        <v>Projekt 8 - ikke brugt</v>
      </c>
      <c r="C54">
        <v>1</v>
      </c>
      <c r="F54" s="112" t="s">
        <v>107</v>
      </c>
    </row>
    <row r="55" spans="1:6" ht="15">
      <c r="A55" s="79">
        <f>Saldobalance!A63</f>
        <v>1369</v>
      </c>
      <c r="B55" s="79" t="str">
        <f>Saldobalance!B63</f>
        <v>Projekt 9 - ikke brugt</v>
      </c>
      <c r="C55">
        <v>1</v>
      </c>
      <c r="F55" s="112" t="s">
        <v>107</v>
      </c>
    </row>
    <row r="56" spans="1:6" ht="15">
      <c r="A56" s="79">
        <f>Saldobalance!A64</f>
        <v>1370</v>
      </c>
      <c r="B56" s="79" t="str">
        <f>Saldobalance!B64</f>
        <v>Projekt 10 - ikke brugt</v>
      </c>
      <c r="C56">
        <v>1</v>
      </c>
      <c r="F56" s="112" t="s">
        <v>107</v>
      </c>
    </row>
    <row r="57" spans="1:6" ht="15">
      <c r="A57" s="79">
        <f>Saldobalance!A65</f>
        <v>1371</v>
      </c>
      <c r="B57" s="79" t="str">
        <f>Saldobalance!B65</f>
        <v>Projekt 11 - ikke brugt</v>
      </c>
      <c r="C57">
        <v>1</v>
      </c>
      <c r="F57" s="112" t="s">
        <v>107</v>
      </c>
    </row>
    <row r="58" spans="1:6" ht="15">
      <c r="A58" s="79">
        <f>Saldobalance!A66</f>
        <v>1372</v>
      </c>
      <c r="B58" s="79" t="str">
        <f>Saldobalance!B66</f>
        <v>Uspecificerede projekter</v>
      </c>
      <c r="C58">
        <v>1</v>
      </c>
      <c r="F58" s="112" t="s">
        <v>107</v>
      </c>
    </row>
    <row r="59" spans="1:6" ht="15">
      <c r="A59" s="79">
        <f>Saldobalance!A67</f>
        <v>1373</v>
      </c>
      <c r="B59" s="79" t="str">
        <f>Saldobalance!B67</f>
        <v>Overført fra opsparringen</v>
      </c>
      <c r="C59">
        <v>1</v>
      </c>
      <c r="F59" s="112" t="s">
        <v>27</v>
      </c>
    </row>
    <row r="60" spans="1:6" ht="15">
      <c r="A60" s="79">
        <v>1374</v>
      </c>
      <c r="B60" s="81" t="s">
        <v>324</v>
      </c>
      <c r="C60">
        <v>3</v>
      </c>
      <c r="D60">
        <v>1360</v>
      </c>
      <c r="F60" t="s">
        <v>107</v>
      </c>
    </row>
    <row r="61" spans="1:6" ht="15">
      <c r="A61" s="79">
        <f>Saldobalance!A69</f>
        <v>1376</v>
      </c>
      <c r="B61" s="79" t="str">
        <f>Saldobalance!B69</f>
        <v>Nyanskaffelse</v>
      </c>
      <c r="C61">
        <v>1</v>
      </c>
      <c r="F61" t="s">
        <v>107</v>
      </c>
    </row>
    <row r="62" spans="1:6" ht="15">
      <c r="A62" s="79">
        <f>Saldobalance!A70</f>
        <v>1378</v>
      </c>
      <c r="B62" s="79" t="str">
        <f>Saldobalance!B70</f>
        <v>Markedsføring</v>
      </c>
      <c r="C62">
        <v>1</v>
      </c>
      <c r="F62" t="s">
        <v>107</v>
      </c>
    </row>
    <row r="63" spans="1:3" ht="15">
      <c r="A63" s="77">
        <v>1380</v>
      </c>
      <c r="B63" s="78" t="s">
        <v>231</v>
      </c>
      <c r="C63">
        <v>4</v>
      </c>
    </row>
    <row r="64" spans="1:6" ht="15">
      <c r="A64" s="79">
        <f>Saldobalance!A73</f>
        <v>1382</v>
      </c>
      <c r="B64" s="79" t="str">
        <f>Saldobalance!B73</f>
        <v>Salg af fåreprodukter (Brutto)</v>
      </c>
      <c r="C64">
        <v>1</v>
      </c>
      <c r="F64" t="s">
        <v>27</v>
      </c>
    </row>
    <row r="65" spans="1:6" ht="15">
      <c r="A65" s="79">
        <f>Saldobalance!A74</f>
        <v>1383</v>
      </c>
      <c r="B65" s="79" t="str">
        <f>Saldobalance!B74</f>
        <v>Rabat på fåreprodukter</v>
      </c>
      <c r="C65">
        <v>1</v>
      </c>
      <c r="F65" s="112" t="s">
        <v>107</v>
      </c>
    </row>
    <row r="66" spans="1:6" ht="15">
      <c r="A66" s="79">
        <f>Saldobalance!A75</f>
        <v>1384</v>
      </c>
      <c r="B66" s="79" t="str">
        <f>Saldobalance!B75</f>
        <v>Løbende udgifter/får</v>
      </c>
      <c r="C66">
        <v>1</v>
      </c>
      <c r="F66" s="112" t="s">
        <v>107</v>
      </c>
    </row>
    <row r="67" spans="1:3" ht="15">
      <c r="A67" s="79">
        <f>Saldobalance!A76</f>
        <v>1392</v>
      </c>
      <c r="B67" s="79" t="str">
        <f>Saldobalance!B76</f>
        <v>Engangsudgifter/får</v>
      </c>
      <c r="C67">
        <v>1</v>
      </c>
    </row>
    <row r="68" spans="1:3" ht="15">
      <c r="A68" s="79">
        <f>Saldobalance!A77</f>
        <v>1397</v>
      </c>
      <c r="B68" s="79" t="str">
        <f>Saldobalance!B77</f>
        <v>Årets udvikling/får</v>
      </c>
      <c r="C68">
        <v>1</v>
      </c>
    </row>
    <row r="69" spans="1:4" ht="15">
      <c r="A69" s="80">
        <v>1399</v>
      </c>
      <c r="B69" s="81" t="s">
        <v>235</v>
      </c>
      <c r="C69">
        <v>3</v>
      </c>
      <c r="D69">
        <v>1380</v>
      </c>
    </row>
    <row r="70" spans="1:3" ht="15">
      <c r="A70" s="77">
        <v>1400</v>
      </c>
      <c r="B70" s="78" t="s">
        <v>134</v>
      </c>
      <c r="C70">
        <v>4</v>
      </c>
    </row>
    <row r="71" spans="1:6" ht="15">
      <c r="A71" s="79">
        <f>Saldobalance!A81</f>
        <v>1410</v>
      </c>
      <c r="B71" s="79" t="str">
        <f>Saldobalance!B81</f>
        <v>Huslejeopkrævet</v>
      </c>
      <c r="C71">
        <v>1</v>
      </c>
      <c r="F71" t="s">
        <v>27</v>
      </c>
    </row>
    <row r="72" spans="1:6" ht="15">
      <c r="A72" s="79">
        <f>Saldobalance!A82</f>
        <v>1420</v>
      </c>
      <c r="B72" s="79" t="str">
        <f>Saldobalance!B82</f>
        <v>Ikke længere i brug</v>
      </c>
      <c r="C72">
        <v>1</v>
      </c>
      <c r="F72" t="s">
        <v>27</v>
      </c>
    </row>
    <row r="73" spans="1:6" ht="15">
      <c r="A73" s="79">
        <f>Saldobalance!A83</f>
        <v>1425</v>
      </c>
      <c r="B73" s="79" t="str">
        <f>Saldobalance!B83</f>
        <v>EL opkrævet</v>
      </c>
      <c r="C73">
        <v>1</v>
      </c>
      <c r="F73" t="s">
        <v>90</v>
      </c>
    </row>
    <row r="74" spans="1:3" ht="15">
      <c r="A74" s="79">
        <f>Saldobalance!A84</f>
        <v>1427</v>
      </c>
      <c r="B74" s="79" t="str">
        <f>Saldobalance!B84</f>
        <v>DONG - EL</v>
      </c>
      <c r="C74">
        <v>1</v>
      </c>
    </row>
    <row r="75" spans="1:3" ht="15">
      <c r="A75" s="79">
        <f>Saldobalance!A85</f>
        <v>1430</v>
      </c>
      <c r="B75" s="79" t="str">
        <f>Saldobalance!B85</f>
        <v>GEF</v>
      </c>
      <c r="C75">
        <v>1</v>
      </c>
    </row>
    <row r="76" spans="1:3" ht="15">
      <c r="A76" s="79">
        <f>Saldobalance!A86</f>
        <v>1440</v>
      </c>
      <c r="B76" s="79" t="str">
        <f>Saldobalance!B86</f>
        <v>Renovation</v>
      </c>
      <c r="C76">
        <v>1</v>
      </c>
    </row>
    <row r="77" spans="1:3" ht="15">
      <c r="A77" s="79">
        <f>Saldobalance!A87</f>
        <v>1450</v>
      </c>
      <c r="B77" s="79" t="str">
        <f>Saldobalance!B87</f>
        <v>Ejendomsskat</v>
      </c>
      <c r="C77">
        <v>1</v>
      </c>
    </row>
    <row r="78" spans="1:3" ht="15">
      <c r="A78" s="79">
        <f>Saldobalance!A88</f>
        <v>1460</v>
      </c>
      <c r="B78" s="79" t="str">
        <f>Saldobalance!B88</f>
        <v>Forsikringer - 4.318.305.792</v>
      </c>
      <c r="C78">
        <v>1</v>
      </c>
    </row>
    <row r="79" spans="1:3" ht="15">
      <c r="A79" s="79">
        <f>Saldobalance!A89</f>
        <v>1470</v>
      </c>
      <c r="B79" s="79" t="str">
        <f>Saldobalance!B89</f>
        <v>Udv. Vedligehold Gården</v>
      </c>
      <c r="C79">
        <v>1</v>
      </c>
    </row>
    <row r="80" spans="1:3" ht="15">
      <c r="A80" s="79">
        <f>Saldobalance!A90</f>
        <v>1480</v>
      </c>
      <c r="B80" s="79" t="str">
        <f>Saldobalance!B90</f>
        <v>Indv. Vedligehold Gården</v>
      </c>
      <c r="C80">
        <v>1</v>
      </c>
    </row>
    <row r="81" spans="1:4" ht="15">
      <c r="A81" s="80">
        <v>1499</v>
      </c>
      <c r="B81" s="81" t="s">
        <v>135</v>
      </c>
      <c r="C81">
        <v>3</v>
      </c>
      <c r="D81">
        <v>1400</v>
      </c>
    </row>
    <row r="82" spans="1:3" ht="15">
      <c r="A82" s="77">
        <v>1996</v>
      </c>
      <c r="B82" s="78"/>
      <c r="C82">
        <v>4</v>
      </c>
    </row>
    <row r="83" spans="1:3" ht="15">
      <c r="A83" s="79">
        <f>Saldobalance!A94</f>
        <v>1997</v>
      </c>
      <c r="B83" s="79" t="str">
        <f>Saldobalance!B94</f>
        <v>Diverse variable udgifter</v>
      </c>
      <c r="C83">
        <v>1</v>
      </c>
    </row>
    <row r="84" spans="1:4" ht="15">
      <c r="A84" s="80">
        <v>1998</v>
      </c>
      <c r="B84" s="81" t="s">
        <v>115</v>
      </c>
      <c r="C84">
        <v>3</v>
      </c>
      <c r="D84">
        <v>1300</v>
      </c>
    </row>
    <row r="85" spans="1:4" ht="15">
      <c r="A85" s="80">
        <v>1999</v>
      </c>
      <c r="B85" s="81" t="s">
        <v>116</v>
      </c>
      <c r="C85">
        <v>3</v>
      </c>
      <c r="D85">
        <v>1000</v>
      </c>
    </row>
    <row r="86" spans="1:3" ht="15">
      <c r="A86" s="77">
        <v>2200</v>
      </c>
      <c r="B86" s="78" t="s">
        <v>117</v>
      </c>
      <c r="C86">
        <v>4</v>
      </c>
    </row>
    <row r="87" spans="1:3" ht="15">
      <c r="A87" s="79">
        <f>Saldobalance!A99</f>
        <v>2210</v>
      </c>
      <c r="B87" s="79" t="str">
        <f>Saldobalance!B99</f>
        <v>Ejendomsskat</v>
      </c>
      <c r="C87">
        <v>1</v>
      </c>
    </row>
    <row r="88" spans="1:3" ht="15">
      <c r="A88" s="79">
        <f>Saldobalance!A100</f>
        <v>2220</v>
      </c>
      <c r="B88" s="79" t="str">
        <f>Saldobalance!B100</f>
        <v>Forsikringer</v>
      </c>
      <c r="C88">
        <v>1</v>
      </c>
    </row>
    <row r="89" spans="1:3" ht="15">
      <c r="A89" s="77">
        <v>2230</v>
      </c>
      <c r="B89" s="78" t="s">
        <v>257</v>
      </c>
      <c r="C89">
        <v>4</v>
      </c>
    </row>
    <row r="90" spans="1:3" ht="15">
      <c r="A90" s="79">
        <f>Saldobalance!A103</f>
        <v>2231</v>
      </c>
      <c r="B90" s="79" t="str">
        <f>Saldobalance!B103</f>
        <v>7AV - Stuehuset + Østlængen</v>
      </c>
      <c r="C90">
        <v>1</v>
      </c>
    </row>
    <row r="91" spans="1:3" ht="15">
      <c r="A91" s="79">
        <f>Saldobalance!A104</f>
        <v>2232</v>
      </c>
      <c r="B91" s="79" t="str">
        <f>Saldobalance!B104</f>
        <v>Komfur &amp; Ovn, ????</v>
      </c>
      <c r="C91">
        <v>1</v>
      </c>
    </row>
    <row r="92" spans="1:3" ht="15">
      <c r="A92" s="79">
        <f>Saldobalance!A105</f>
        <v>2233</v>
      </c>
      <c r="B92" s="79" t="str">
        <f>Saldobalance!B105</f>
        <v>Fyrudskiftning, 1999</v>
      </c>
      <c r="C92">
        <v>1</v>
      </c>
    </row>
    <row r="93" spans="1:3" ht="15">
      <c r="A93" s="79">
        <f>Saldobalance!A106</f>
        <v>2234</v>
      </c>
      <c r="B93" s="79" t="str">
        <f>Saldobalance!B106</f>
        <v>Tørretumbler, 1999</v>
      </c>
      <c r="C93">
        <v>1</v>
      </c>
    </row>
    <row r="94" spans="1:3" ht="15">
      <c r="A94" s="79">
        <f>Saldobalance!A107</f>
        <v>2235</v>
      </c>
      <c r="B94" s="79" t="str">
        <f>Saldobalance!B107</f>
        <v>Vaskemaskiner, 2011</v>
      </c>
      <c r="C94">
        <v>1</v>
      </c>
    </row>
    <row r="95" spans="1:4" ht="15">
      <c r="A95" s="80">
        <v>2239</v>
      </c>
      <c r="B95" s="81" t="s">
        <v>118</v>
      </c>
      <c r="C95">
        <v>3</v>
      </c>
      <c r="D95">
        <v>2230</v>
      </c>
    </row>
    <row r="96" spans="1:3" ht="15">
      <c r="A96" s="77">
        <v>2250</v>
      </c>
      <c r="B96" s="78" t="s">
        <v>8</v>
      </c>
      <c r="C96">
        <v>4</v>
      </c>
    </row>
    <row r="97" spans="1:3" ht="15">
      <c r="A97" s="79">
        <f>Saldobalance!A111</f>
        <v>2251</v>
      </c>
      <c r="B97" s="79" t="str">
        <f>Saldobalance!B111</f>
        <v>Nordea</v>
      </c>
      <c r="C97">
        <v>1</v>
      </c>
    </row>
    <row r="98" spans="1:3" ht="15">
      <c r="A98" s="79">
        <f>Saldobalance!A112</f>
        <v>2255</v>
      </c>
      <c r="B98" s="79" t="str">
        <f>Saldobalance!B112</f>
        <v>Gevinst på valutakursdiff, debitorer</v>
      </c>
      <c r="C98">
        <v>1</v>
      </c>
    </row>
    <row r="99" spans="1:3" ht="15">
      <c r="A99" s="79">
        <f>Saldobalance!A113</f>
        <v>2256</v>
      </c>
      <c r="B99" s="79" t="str">
        <f>Saldobalance!B113</f>
        <v>Gevinst på valutakursdiff, kreditorer</v>
      </c>
      <c r="C99">
        <v>1</v>
      </c>
    </row>
    <row r="100" spans="1:3" ht="15">
      <c r="A100" s="79">
        <f>Saldobalance!A114</f>
        <v>2258</v>
      </c>
      <c r="B100" s="79" t="str">
        <f>Saldobalance!B114</f>
        <v>Andre renter og gebyrer</v>
      </c>
      <c r="C100">
        <v>1</v>
      </c>
    </row>
    <row r="101" spans="1:4" ht="15">
      <c r="A101" s="80">
        <v>2259</v>
      </c>
      <c r="B101" s="81" t="s">
        <v>119</v>
      </c>
      <c r="C101">
        <v>3</v>
      </c>
      <c r="D101">
        <v>2250</v>
      </c>
    </row>
    <row r="102" spans="1:3" ht="15">
      <c r="A102" s="77">
        <v>2260</v>
      </c>
      <c r="B102" s="78" t="s">
        <v>219</v>
      </c>
      <c r="C102">
        <v>4</v>
      </c>
    </row>
    <row r="103" spans="1:3" ht="15">
      <c r="A103" s="79">
        <f>Saldobalance!A118</f>
        <v>2261</v>
      </c>
      <c r="B103" s="79" t="str">
        <f>Saldobalance!B118</f>
        <v>Renovation</v>
      </c>
      <c r="C103">
        <v>1</v>
      </c>
    </row>
    <row r="104" spans="1:3" ht="15">
      <c r="A104" s="79">
        <f>Saldobalance!A119</f>
        <v>2262</v>
      </c>
      <c r="B104" s="79" t="str">
        <f>Saldobalance!B119</f>
        <v>EL</v>
      </c>
      <c r="C104">
        <v>1</v>
      </c>
    </row>
    <row r="105" spans="1:3" ht="15">
      <c r="A105" s="79">
        <f>Saldobalance!A120</f>
        <v>2263</v>
      </c>
      <c r="B105" s="79" t="str">
        <f>Saldobalance!B120</f>
        <v>Varme / gas</v>
      </c>
      <c r="C105">
        <v>1</v>
      </c>
    </row>
    <row r="106" spans="1:3" ht="15">
      <c r="A106" s="79">
        <f>Saldobalance!A121</f>
        <v>2264</v>
      </c>
      <c r="B106" s="79" t="str">
        <f>Saldobalance!B121</f>
        <v>Vand</v>
      </c>
      <c r="C106">
        <v>1</v>
      </c>
    </row>
    <row r="107" spans="1:3" ht="15">
      <c r="A107" s="79">
        <f>Saldobalance!A122</f>
        <v>2265</v>
      </c>
      <c r="B107" s="79" t="str">
        <f>Saldobalance!B122</f>
        <v>Vask</v>
      </c>
      <c r="C107">
        <v>1</v>
      </c>
    </row>
    <row r="108" spans="1:4" ht="15">
      <c r="A108" s="80">
        <v>2269</v>
      </c>
      <c r="B108" s="81" t="s">
        <v>220</v>
      </c>
      <c r="C108">
        <v>3</v>
      </c>
      <c r="D108">
        <v>2260</v>
      </c>
    </row>
    <row r="109" spans="1:3" ht="15">
      <c r="A109" s="77">
        <v>2270</v>
      </c>
      <c r="B109" s="78" t="s">
        <v>10</v>
      </c>
      <c r="C109">
        <v>4</v>
      </c>
    </row>
    <row r="110" spans="1:3" ht="15">
      <c r="A110" s="79">
        <f>Saldobalance!A126</f>
        <v>2271</v>
      </c>
      <c r="B110" s="79" t="str">
        <f>Saldobalance!B126</f>
        <v>Drift af bestyrelsen</v>
      </c>
      <c r="C110">
        <v>1</v>
      </c>
    </row>
    <row r="111" spans="1:3" ht="15">
      <c r="A111" s="79">
        <f>Saldobalance!A127</f>
        <v>2272</v>
      </c>
      <c r="B111" s="79" t="str">
        <f>Saldobalance!B127</f>
        <v>Kontorartikler og Porto</v>
      </c>
      <c r="C111">
        <v>1</v>
      </c>
    </row>
    <row r="112" spans="1:3" ht="15">
      <c r="A112" s="79">
        <f>Saldobalance!A128</f>
        <v>2273</v>
      </c>
      <c r="B112" s="79" t="str">
        <f>Saldobalance!B128</f>
        <v>Økonomisystem</v>
      </c>
      <c r="C112">
        <v>1</v>
      </c>
    </row>
    <row r="113" spans="1:4" ht="15">
      <c r="A113" s="80">
        <v>2279</v>
      </c>
      <c r="B113" s="81" t="s">
        <v>120</v>
      </c>
      <c r="C113">
        <v>3</v>
      </c>
      <c r="D113">
        <v>2270</v>
      </c>
    </row>
    <row r="114" spans="1:3" ht="15">
      <c r="A114" s="77">
        <v>2280</v>
      </c>
      <c r="B114" s="78" t="s">
        <v>9</v>
      </c>
      <c r="C114">
        <v>4</v>
      </c>
    </row>
    <row r="115" spans="1:3" ht="15">
      <c r="A115" s="79">
        <f>Saldobalance!A132</f>
        <v>2282</v>
      </c>
      <c r="B115" s="79" t="str">
        <f>Saldobalance!B132</f>
        <v>GEF-regnskab</v>
      </c>
      <c r="C115">
        <v>1</v>
      </c>
    </row>
    <row r="116" spans="1:3" ht="15">
      <c r="A116" s="79">
        <f>Saldobalance!A133</f>
        <v>2284</v>
      </c>
      <c r="B116" s="79" t="str">
        <f>Saldobalance!B133</f>
        <v>IS-regnskab</v>
      </c>
      <c r="C116">
        <v>1</v>
      </c>
    </row>
    <row r="117" spans="1:4" ht="15">
      <c r="A117" s="80">
        <v>2289</v>
      </c>
      <c r="B117" s="81" t="s">
        <v>121</v>
      </c>
      <c r="C117">
        <v>3</v>
      </c>
      <c r="D117">
        <v>2280</v>
      </c>
    </row>
    <row r="118" spans="1:3" ht="15">
      <c r="A118" s="77">
        <v>2290</v>
      </c>
      <c r="B118" s="78" t="s">
        <v>11</v>
      </c>
      <c r="C118">
        <v>4</v>
      </c>
    </row>
    <row r="119" spans="1:3" ht="15">
      <c r="A119" s="79">
        <f>Saldobalance!A137</f>
        <v>2292</v>
      </c>
      <c r="B119" s="79" t="str">
        <f>Saldobalance!B137</f>
        <v>Tab på Bofæller</v>
      </c>
      <c r="C119">
        <v>1</v>
      </c>
    </row>
    <row r="120" spans="1:3" ht="15">
      <c r="A120" s="79">
        <f>Saldobalance!A138</f>
        <v>2293</v>
      </c>
      <c r="B120" s="79" t="str">
        <f>Saldobalance!B138</f>
        <v>Øredifferencer</v>
      </c>
      <c r="C120">
        <v>1</v>
      </c>
    </row>
    <row r="121" spans="1:3" ht="15">
      <c r="A121" s="79">
        <f>Saldobalance!A139</f>
        <v>2294</v>
      </c>
      <c r="B121" s="79" t="str">
        <f>Saldobalance!B139</f>
        <v>Afrundingsfejl på Sol-projekt</v>
      </c>
      <c r="C121">
        <v>1</v>
      </c>
    </row>
    <row r="122" spans="1:3" ht="15">
      <c r="A122" s="79">
        <f>Saldobalance!A140</f>
        <v>2295</v>
      </c>
      <c r="B122" s="79" t="str">
        <f>Saldobalance!B140</f>
        <v>Diverse omkostninger</v>
      </c>
      <c r="C122">
        <v>1</v>
      </c>
    </row>
    <row r="123" spans="1:4" ht="15">
      <c r="A123" s="80">
        <v>2296</v>
      </c>
      <c r="B123" s="81" t="s">
        <v>122</v>
      </c>
      <c r="C123">
        <v>3</v>
      </c>
      <c r="D123">
        <v>2290</v>
      </c>
    </row>
    <row r="124" spans="1:4" ht="15">
      <c r="A124" s="80">
        <v>2997</v>
      </c>
      <c r="B124" s="81" t="s">
        <v>123</v>
      </c>
      <c r="C124">
        <v>3</v>
      </c>
      <c r="D124">
        <v>2200</v>
      </c>
    </row>
    <row r="125" spans="1:4" ht="15">
      <c r="A125" s="80">
        <v>2998</v>
      </c>
      <c r="B125" s="81" t="s">
        <v>124</v>
      </c>
      <c r="C125">
        <v>3</v>
      </c>
      <c r="D125">
        <v>1300</v>
      </c>
    </row>
    <row r="126" spans="1:4" ht="15">
      <c r="A126" s="80">
        <v>2999</v>
      </c>
      <c r="B126" s="81" t="s">
        <v>222</v>
      </c>
      <c r="C126">
        <v>3</v>
      </c>
      <c r="D126">
        <v>1000</v>
      </c>
    </row>
    <row r="127" spans="1:3" ht="15">
      <c r="A127" s="77">
        <v>3000</v>
      </c>
      <c r="B127" s="78" t="s">
        <v>125</v>
      </c>
      <c r="C127">
        <v>4</v>
      </c>
    </row>
    <row r="128" spans="1:3" ht="15">
      <c r="A128" s="77">
        <v>3100</v>
      </c>
      <c r="B128" s="78" t="s">
        <v>72</v>
      </c>
      <c r="C128">
        <v>4</v>
      </c>
    </row>
    <row r="129" spans="1:6" ht="15">
      <c r="A129" s="79">
        <f>Saldobalance!A149</f>
        <v>3110</v>
      </c>
      <c r="B129" s="79" t="str">
        <f>Saldobalance!B149</f>
        <v>Vask opkrævet</v>
      </c>
      <c r="C129">
        <v>1</v>
      </c>
      <c r="F129" t="s">
        <v>27</v>
      </c>
    </row>
    <row r="130" spans="1:6" ht="15">
      <c r="A130" s="79">
        <f>Saldobalance!A150</f>
        <v>3120</v>
      </c>
      <c r="B130" s="79" t="str">
        <f>Saldobalance!B150</f>
        <v>Vask Fælleshuset</v>
      </c>
      <c r="C130">
        <v>1</v>
      </c>
      <c r="F130" t="s">
        <v>27</v>
      </c>
    </row>
    <row r="131" spans="1:3" ht="15">
      <c r="A131" s="79">
        <f>Saldobalance!A151</f>
        <v>3140</v>
      </c>
      <c r="B131" s="79" t="str">
        <f>Saldobalance!B151</f>
        <v>Vaskemidler</v>
      </c>
      <c r="C131">
        <v>1</v>
      </c>
    </row>
    <row r="132" spans="1:3" ht="15">
      <c r="A132" s="79">
        <f>Saldobalance!A152</f>
        <v>3150</v>
      </c>
      <c r="B132" s="79" t="str">
        <f>Saldobalance!B152</f>
        <v>EL</v>
      </c>
      <c r="C132">
        <v>1</v>
      </c>
    </row>
    <row r="133" spans="1:3" ht="15">
      <c r="A133" s="79">
        <f>Saldobalance!A153</f>
        <v>3160</v>
      </c>
      <c r="B133" s="79" t="str">
        <f>Saldobalance!B153</f>
        <v>Gas</v>
      </c>
      <c r="C133">
        <v>1</v>
      </c>
    </row>
    <row r="134" spans="1:3" ht="15">
      <c r="A134" s="79">
        <f>Saldobalance!A154</f>
        <v>3170</v>
      </c>
      <c r="B134" s="79" t="str">
        <f>Saldobalance!B154</f>
        <v>Vand</v>
      </c>
      <c r="C134">
        <v>1</v>
      </c>
    </row>
    <row r="135" spans="1:3" ht="15">
      <c r="A135" s="79">
        <f>Saldobalance!A155</f>
        <v>3180</v>
      </c>
      <c r="B135" s="79" t="str">
        <f>Saldobalance!B155</f>
        <v>Salttabletter</v>
      </c>
      <c r="C135">
        <v>1</v>
      </c>
    </row>
    <row r="136" spans="1:4" ht="15">
      <c r="A136" s="80">
        <v>3199</v>
      </c>
      <c r="B136" s="81" t="s">
        <v>126</v>
      </c>
      <c r="C136">
        <v>3</v>
      </c>
      <c r="D136">
        <v>3100</v>
      </c>
    </row>
    <row r="137" spans="1:3" ht="15">
      <c r="A137" s="77">
        <v>3200</v>
      </c>
      <c r="B137" s="78" t="s">
        <v>56</v>
      </c>
      <c r="C137">
        <v>4</v>
      </c>
    </row>
    <row r="138" spans="1:6" ht="15">
      <c r="A138" s="79">
        <f>Saldobalance!A159</f>
        <v>3210</v>
      </c>
      <c r="B138" s="79" t="str">
        <f>Saldobalance!B159</f>
        <v>Vand opkrævet</v>
      </c>
      <c r="C138">
        <v>1</v>
      </c>
      <c r="F138" t="s">
        <v>27</v>
      </c>
    </row>
    <row r="139" spans="1:6" ht="15">
      <c r="A139" s="79">
        <f>Saldobalance!A160</f>
        <v>3220</v>
      </c>
      <c r="B139" s="79" t="str">
        <f>Saldobalance!B160</f>
        <v>Vand Fælleshuset</v>
      </c>
      <c r="C139">
        <v>1</v>
      </c>
      <c r="F139" t="s">
        <v>27</v>
      </c>
    </row>
    <row r="140" spans="1:6" ht="15">
      <c r="A140" s="79">
        <f>Saldobalance!A161</f>
        <v>3230</v>
      </c>
      <c r="B140" s="79" t="str">
        <f>Saldobalance!B161</f>
        <v>Vand vaskeriet</v>
      </c>
      <c r="C140">
        <v>1</v>
      </c>
      <c r="F140" t="s">
        <v>27</v>
      </c>
    </row>
    <row r="141" spans="1:3" ht="15">
      <c r="A141" s="79">
        <f>Saldobalance!A162</f>
        <v>3240</v>
      </c>
      <c r="B141" s="79" t="str">
        <f>Saldobalance!B162</f>
        <v>Vand Fredensborg Forsyning</v>
      </c>
      <c r="C141">
        <v>1</v>
      </c>
    </row>
    <row r="142" spans="1:4" ht="15">
      <c r="A142" s="80">
        <v>3299</v>
      </c>
      <c r="B142" s="81" t="s">
        <v>127</v>
      </c>
      <c r="C142">
        <v>3</v>
      </c>
      <c r="D142">
        <v>3200</v>
      </c>
    </row>
    <row r="143" spans="1:3" ht="15">
      <c r="A143" s="77">
        <v>3300</v>
      </c>
      <c r="B143" s="78" t="s">
        <v>188</v>
      </c>
      <c r="C143">
        <v>4</v>
      </c>
    </row>
    <row r="144" spans="1:6" ht="15">
      <c r="A144" s="79">
        <f>Saldobalance!A166</f>
        <v>3310</v>
      </c>
      <c r="B144" s="79" t="str">
        <f>Saldobalance!B166</f>
        <v>Varme opkrævet</v>
      </c>
      <c r="C144">
        <v>1</v>
      </c>
      <c r="F144" t="s">
        <v>27</v>
      </c>
    </row>
    <row r="145" spans="1:6" ht="15">
      <c r="A145" s="79">
        <f>Saldobalance!A167</f>
        <v>3320</v>
      </c>
      <c r="B145" s="79" t="str">
        <f>Saldobalance!B167</f>
        <v>Varme Fælleshuset</v>
      </c>
      <c r="C145">
        <v>1</v>
      </c>
      <c r="F145" t="s">
        <v>27</v>
      </c>
    </row>
    <row r="146" spans="1:6" ht="15">
      <c r="A146" s="79">
        <f>Saldobalance!A168</f>
        <v>3330</v>
      </c>
      <c r="B146" s="79" t="str">
        <f>Saldobalance!B168</f>
        <v>Gas vaskeriet</v>
      </c>
      <c r="C146">
        <v>1</v>
      </c>
      <c r="F146" t="s">
        <v>27</v>
      </c>
    </row>
    <row r="147" spans="1:3" ht="15">
      <c r="A147" s="79">
        <f>Saldobalance!A169</f>
        <v>3340</v>
      </c>
      <c r="B147" s="79" t="str">
        <f>Saldobalance!B169</f>
        <v>HNG</v>
      </c>
      <c r="C147">
        <v>1</v>
      </c>
    </row>
    <row r="148" spans="1:4" ht="15">
      <c r="A148" s="80">
        <v>3399</v>
      </c>
      <c r="B148" s="81" t="s">
        <v>128</v>
      </c>
      <c r="C148">
        <v>3</v>
      </c>
      <c r="D148">
        <v>3300</v>
      </c>
    </row>
    <row r="149" spans="1:3" ht="15">
      <c r="A149" s="77">
        <v>3400</v>
      </c>
      <c r="B149" s="78" t="s">
        <v>15</v>
      </c>
      <c r="C149">
        <v>4</v>
      </c>
    </row>
    <row r="150" spans="1:6" ht="15">
      <c r="A150" s="79">
        <f>Saldobalance!A173</f>
        <v>3410</v>
      </c>
      <c r="B150" s="79" t="str">
        <f>Saldobalance!B173</f>
        <v>Renovation opkrævet</v>
      </c>
      <c r="C150">
        <v>1</v>
      </c>
      <c r="F150" t="s">
        <v>27</v>
      </c>
    </row>
    <row r="151" spans="1:6" ht="15">
      <c r="A151" s="79">
        <f>Saldobalance!A174</f>
        <v>3420</v>
      </c>
      <c r="B151" s="79" t="str">
        <f>Saldobalance!B174</f>
        <v>Renovation Fælleshuset</v>
      </c>
      <c r="C151">
        <v>1</v>
      </c>
      <c r="F151" t="s">
        <v>27</v>
      </c>
    </row>
    <row r="152" spans="1:3" ht="15">
      <c r="A152" s="79">
        <f>Saldobalance!A175</f>
        <v>3430</v>
      </c>
      <c r="B152" s="79" t="str">
        <f>Saldobalance!B175</f>
        <v>Renovation Fredensborg Forsyning</v>
      </c>
      <c r="C152">
        <v>1</v>
      </c>
    </row>
    <row r="153" spans="1:4" ht="15">
      <c r="A153" s="80">
        <v>3499</v>
      </c>
      <c r="B153" s="81" t="s">
        <v>129</v>
      </c>
      <c r="C153">
        <v>3</v>
      </c>
      <c r="D153">
        <v>3400</v>
      </c>
    </row>
    <row r="154" spans="1:3" ht="15">
      <c r="A154" s="77">
        <v>3500</v>
      </c>
      <c r="B154" s="78" t="s">
        <v>12</v>
      </c>
      <c r="C154">
        <v>4</v>
      </c>
    </row>
    <row r="155" spans="1:6" ht="15">
      <c r="A155" s="79">
        <f>Saldobalance!A179</f>
        <v>3510</v>
      </c>
      <c r="B155" s="79" t="str">
        <f>Saldobalance!B179</f>
        <v>TV opkrævet</v>
      </c>
      <c r="C155">
        <v>1</v>
      </c>
      <c r="F155" t="s">
        <v>27</v>
      </c>
    </row>
    <row r="156" spans="1:6" ht="15">
      <c r="A156" s="79">
        <f>Saldobalance!A180</f>
        <v>3520</v>
      </c>
      <c r="B156" s="79" t="str">
        <f>Saldobalance!B180</f>
        <v>TV Fælleshuset</v>
      </c>
      <c r="C156">
        <v>1</v>
      </c>
      <c r="F156" t="s">
        <v>27</v>
      </c>
    </row>
    <row r="157" spans="1:3" ht="15">
      <c r="A157" s="79">
        <f>Saldobalance!A181</f>
        <v>3530</v>
      </c>
      <c r="B157" s="79" t="str">
        <f>Saldobalance!B181</f>
        <v>YouSee og andre</v>
      </c>
      <c r="C157">
        <v>1</v>
      </c>
    </row>
    <row r="158" spans="1:4" ht="15">
      <c r="A158" s="80">
        <v>3599</v>
      </c>
      <c r="B158" s="81" t="s">
        <v>130</v>
      </c>
      <c r="C158">
        <v>3</v>
      </c>
      <c r="D158">
        <v>3500</v>
      </c>
    </row>
    <row r="159" spans="1:3" ht="15">
      <c r="A159" s="77">
        <v>3600</v>
      </c>
      <c r="B159" s="78" t="s">
        <v>5</v>
      </c>
      <c r="C159">
        <v>4</v>
      </c>
    </row>
    <row r="160" spans="1:6" ht="15">
      <c r="A160" s="79">
        <f>Saldobalance!A185</f>
        <v>3610</v>
      </c>
      <c r="B160" s="79" t="str">
        <f>Saldobalance!B185</f>
        <v>Øl opkrævet</v>
      </c>
      <c r="C160">
        <v>1</v>
      </c>
      <c r="F160" t="s">
        <v>27</v>
      </c>
    </row>
    <row r="161" spans="1:6" ht="15">
      <c r="A161" s="79">
        <f>Saldobalance!A186</f>
        <v>3620</v>
      </c>
      <c r="B161" s="79" t="str">
        <f>Saldobalance!B186</f>
        <v>Øl Fælleshuset</v>
      </c>
      <c r="C161">
        <v>1</v>
      </c>
      <c r="F161" t="s">
        <v>27</v>
      </c>
    </row>
    <row r="162" spans="1:3" ht="15">
      <c r="A162" s="79">
        <f>Saldobalance!A187</f>
        <v>3625</v>
      </c>
      <c r="B162" s="79" t="str">
        <f>Saldobalance!B187</f>
        <v>Regulering af lagerbeholdning</v>
      </c>
      <c r="C162">
        <v>1</v>
      </c>
    </row>
    <row r="163" spans="1:3" ht="15">
      <c r="A163" s="79">
        <f>Saldobalance!A188</f>
        <v>3630</v>
      </c>
      <c r="B163" s="79" t="str">
        <f>Saldobalance!B188</f>
        <v>Tuborg og andre</v>
      </c>
      <c r="C163">
        <v>1</v>
      </c>
    </row>
    <row r="164" spans="1:4" ht="15">
      <c r="A164" s="80">
        <v>3699</v>
      </c>
      <c r="B164" s="81" t="s">
        <v>131</v>
      </c>
      <c r="C164">
        <v>3</v>
      </c>
      <c r="D164">
        <v>3600</v>
      </c>
    </row>
    <row r="165" spans="1:3" ht="15">
      <c r="A165" s="77">
        <v>3700</v>
      </c>
      <c r="B165" s="78" t="s">
        <v>132</v>
      </c>
      <c r="C165">
        <v>4</v>
      </c>
    </row>
    <row r="166" spans="1:6" ht="15">
      <c r="A166" s="79">
        <f>Saldobalance!A192</f>
        <v>3710</v>
      </c>
      <c r="B166" s="79" t="str">
        <f>Saldobalance!B192</f>
        <v>Mælk opkrævet</v>
      </c>
      <c r="C166">
        <v>1</v>
      </c>
      <c r="F166" t="s">
        <v>27</v>
      </c>
    </row>
    <row r="167" spans="1:3" ht="15">
      <c r="A167" s="79">
        <f>Saldobalance!A193</f>
        <v>3720</v>
      </c>
      <c r="B167" s="79" t="str">
        <f>Saldobalance!B193</f>
        <v>Øllingegård</v>
      </c>
      <c r="C167">
        <v>1</v>
      </c>
    </row>
    <row r="168" spans="1:4" ht="15">
      <c r="A168" s="80">
        <v>3799</v>
      </c>
      <c r="B168" s="81" t="s">
        <v>133</v>
      </c>
      <c r="C168">
        <v>3</v>
      </c>
      <c r="D168">
        <v>3700</v>
      </c>
    </row>
    <row r="169" spans="1:3" ht="15">
      <c r="A169" s="77">
        <v>3900</v>
      </c>
      <c r="B169" s="78" t="s">
        <v>208</v>
      </c>
      <c r="C169">
        <v>4</v>
      </c>
    </row>
    <row r="170" spans="1:6" ht="15">
      <c r="A170" s="79">
        <f>Saldobalance!A197</f>
        <v>3910</v>
      </c>
      <c r="B170" s="79" t="str">
        <f>Saldobalance!B197</f>
        <v>Kultur opkrævet</v>
      </c>
      <c r="C170">
        <v>1</v>
      </c>
      <c r="F170" t="s">
        <v>27</v>
      </c>
    </row>
    <row r="171" spans="1:3" ht="15">
      <c r="A171" s="79">
        <f>Saldobalance!A198</f>
        <v>3920</v>
      </c>
      <c r="B171" s="79" t="str">
        <f>Saldobalance!B198</f>
        <v>Kultur udlæg</v>
      </c>
      <c r="C171">
        <v>1</v>
      </c>
    </row>
    <row r="172" spans="1:4" ht="15">
      <c r="A172" s="80">
        <v>3999</v>
      </c>
      <c r="B172" s="81" t="s">
        <v>212</v>
      </c>
      <c r="C172">
        <v>3</v>
      </c>
      <c r="D172">
        <v>3900</v>
      </c>
    </row>
    <row r="173" spans="1:4" ht="15">
      <c r="A173" s="80">
        <v>4900</v>
      </c>
      <c r="B173" s="81" t="s">
        <v>209</v>
      </c>
      <c r="C173">
        <v>3</v>
      </c>
      <c r="D173">
        <v>3000</v>
      </c>
    </row>
    <row r="174" spans="1:4" ht="15">
      <c r="A174" s="80">
        <v>4990</v>
      </c>
      <c r="B174" s="81" t="s">
        <v>136</v>
      </c>
      <c r="C174">
        <v>3</v>
      </c>
      <c r="D174">
        <v>1000</v>
      </c>
    </row>
    <row r="175" spans="1:3" ht="15">
      <c r="A175" s="77">
        <v>5000</v>
      </c>
      <c r="B175" s="78" t="s">
        <v>137</v>
      </c>
      <c r="C175">
        <v>5</v>
      </c>
    </row>
    <row r="176" spans="1:3" ht="15">
      <c r="A176" s="77">
        <v>5010</v>
      </c>
      <c r="B176" s="78" t="s">
        <v>138</v>
      </c>
      <c r="C176">
        <v>4</v>
      </c>
    </row>
    <row r="177" spans="1:3" ht="15">
      <c r="A177" s="77">
        <v>5100</v>
      </c>
      <c r="B177" s="78" t="s">
        <v>139</v>
      </c>
      <c r="C177">
        <v>4</v>
      </c>
    </row>
    <row r="178" spans="1:3" ht="15">
      <c r="A178" s="79">
        <f>Saldobalance!A208</f>
        <v>5101</v>
      </c>
      <c r="B178" s="79" t="str">
        <f>Saldobalance!B208</f>
        <v>Tørretumbler, 1999</v>
      </c>
      <c r="C178">
        <v>2</v>
      </c>
    </row>
    <row r="179" spans="1:3" ht="15">
      <c r="A179" s="79">
        <f>Saldobalance!A209</f>
        <v>5102</v>
      </c>
      <c r="B179" s="79" t="str">
        <f>Saldobalance!B209</f>
        <v>Vaskemaskiner, 2011</v>
      </c>
      <c r="C179">
        <v>2</v>
      </c>
    </row>
    <row r="180" spans="1:8" ht="15">
      <c r="A180" s="79">
        <f>Saldobalance!A210</f>
        <v>5104</v>
      </c>
      <c r="B180" s="79" t="str">
        <f>Saldobalance!B210</f>
        <v>Nye fyr, 1999</v>
      </c>
      <c r="C180">
        <v>2</v>
      </c>
      <c r="H180" s="64"/>
    </row>
    <row r="181" spans="1:8" ht="15">
      <c r="A181" s="79">
        <f>Saldobalance!A211</f>
        <v>5106</v>
      </c>
      <c r="B181" s="79" t="str">
        <f>Saldobalance!B211</f>
        <v>Nyt Køkken</v>
      </c>
      <c r="C181">
        <v>2</v>
      </c>
      <c r="H181" s="64"/>
    </row>
    <row r="182" spans="1:8" ht="15">
      <c r="A182" s="79">
        <f>Saldobalance!A212</f>
        <v>5108</v>
      </c>
      <c r="B182" s="79" t="str">
        <f>Saldobalance!B212</f>
        <v>Gl. RKD-lån</v>
      </c>
      <c r="C182">
        <v>2</v>
      </c>
      <c r="H182" s="64"/>
    </row>
    <row r="183" spans="1:4" ht="15">
      <c r="A183" s="80">
        <v>5199</v>
      </c>
      <c r="B183" s="81" t="s">
        <v>141</v>
      </c>
      <c r="C183">
        <v>3</v>
      </c>
      <c r="D183">
        <v>5100</v>
      </c>
    </row>
    <row r="184" spans="1:3" ht="15">
      <c r="A184" s="77">
        <v>5200</v>
      </c>
      <c r="B184" s="78" t="s">
        <v>142</v>
      </c>
      <c r="C184">
        <v>4</v>
      </c>
    </row>
    <row r="185" spans="1:3" ht="15">
      <c r="A185" s="79">
        <f>Saldobalance!A216</f>
        <v>5221</v>
      </c>
      <c r="B185" s="79" t="str">
        <f>Saldobalance!B216</f>
        <v>Landbrugsjord - 7 B</v>
      </c>
      <c r="C185">
        <v>2</v>
      </c>
    </row>
    <row r="186" spans="1:3" ht="15">
      <c r="A186" s="79">
        <f>Saldobalance!A217</f>
        <v>5222</v>
      </c>
      <c r="B186" s="79" t="str">
        <f>Saldobalance!B217</f>
        <v>Stuehus + Østlængen - 7 AV</v>
      </c>
      <c r="C186">
        <v>2</v>
      </c>
    </row>
    <row r="187" spans="1:3" ht="15">
      <c r="A187" s="79">
        <f>Saldobalance!A218</f>
        <v>5223</v>
      </c>
      <c r="B187" s="79" t="str">
        <f>Saldobalance!B218</f>
        <v>Fælleshus - 9 N</v>
      </c>
      <c r="C187">
        <v>2</v>
      </c>
    </row>
    <row r="188" spans="1:4" ht="15">
      <c r="A188" s="80">
        <v>5299</v>
      </c>
      <c r="B188" s="81" t="s">
        <v>143</v>
      </c>
      <c r="C188">
        <v>3</v>
      </c>
      <c r="D188">
        <v>5200</v>
      </c>
    </row>
    <row r="189" spans="1:3" ht="15">
      <c r="A189" s="79">
        <f>Saldobalance!A220</f>
        <v>5300</v>
      </c>
      <c r="B189" s="79" t="str">
        <f>Saldobalance!B220</f>
        <v>GEF tilgode hos I/S</v>
      </c>
      <c r="C189">
        <v>2</v>
      </c>
    </row>
    <row r="190" spans="1:4" ht="15">
      <c r="A190" s="80">
        <v>5399</v>
      </c>
      <c r="B190" s="81" t="s">
        <v>145</v>
      </c>
      <c r="C190">
        <v>3</v>
      </c>
      <c r="D190">
        <v>5010</v>
      </c>
    </row>
    <row r="191" spans="1:3" ht="15">
      <c r="A191" s="77">
        <v>5400</v>
      </c>
      <c r="B191" s="78" t="s">
        <v>146</v>
      </c>
      <c r="C191">
        <v>4</v>
      </c>
    </row>
    <row r="192" spans="1:3" ht="15">
      <c r="A192" s="77">
        <v>5410</v>
      </c>
      <c r="B192" s="78" t="s">
        <v>147</v>
      </c>
      <c r="C192">
        <v>4</v>
      </c>
    </row>
    <row r="193" spans="1:3" ht="15">
      <c r="A193" s="79">
        <f>Saldobalance!A226</f>
        <v>5420</v>
      </c>
      <c r="B193" s="79" t="str">
        <f>Saldobalance!B226</f>
        <v>Tilgodehavender hos Bofæller</v>
      </c>
      <c r="C193">
        <v>2</v>
      </c>
    </row>
    <row r="194" spans="1:4" ht="15">
      <c r="A194" s="80">
        <v>5499</v>
      </c>
      <c r="B194" s="81" t="s">
        <v>148</v>
      </c>
      <c r="C194">
        <v>3</v>
      </c>
      <c r="D194">
        <v>5410</v>
      </c>
    </row>
    <row r="195" spans="1:3" ht="15">
      <c r="A195" s="77">
        <v>5500</v>
      </c>
      <c r="B195" s="78" t="s">
        <v>149</v>
      </c>
      <c r="C195">
        <v>4</v>
      </c>
    </row>
    <row r="196" spans="1:3" ht="15">
      <c r="A196" s="79">
        <f>Saldobalance!A230</f>
        <v>5519</v>
      </c>
      <c r="B196" s="79" t="str">
        <f>Saldobalance!B230</f>
        <v>Forudbetalte poster</v>
      </c>
      <c r="C196">
        <v>2</v>
      </c>
    </row>
    <row r="197" spans="1:3" ht="15">
      <c r="A197" s="79">
        <f>Saldobalance!A231</f>
        <v>5520</v>
      </c>
      <c r="B197" s="79" t="str">
        <f>Saldobalance!B231</f>
        <v>Forskud fåregruppen</v>
      </c>
      <c r="C197">
        <v>2</v>
      </c>
    </row>
    <row r="198" spans="1:3" ht="15">
      <c r="A198" s="79">
        <f>Saldobalance!A232</f>
        <v>5530</v>
      </c>
      <c r="B198" s="79" t="str">
        <f>Saldobalance!B232</f>
        <v>Depositum mælkeordningen - udgået</v>
      </c>
      <c r="C198">
        <v>2</v>
      </c>
    </row>
    <row r="199" spans="1:3" ht="15">
      <c r="A199" s="79">
        <f>Saldobalance!A233</f>
        <v>5550</v>
      </c>
      <c r="B199" s="79" t="str">
        <f>Saldobalance!B233</f>
        <v>Vandregnskab</v>
      </c>
      <c r="C199">
        <v>2</v>
      </c>
    </row>
    <row r="200" spans="1:3" ht="15">
      <c r="A200" s="79">
        <f>Saldobalance!A234</f>
        <v>5560</v>
      </c>
      <c r="B200" s="79" t="str">
        <f>Saldobalance!B234</f>
        <v>Varmeregnskab</v>
      </c>
      <c r="C200">
        <v>2</v>
      </c>
    </row>
    <row r="201" spans="1:3" ht="15">
      <c r="A201" s="79">
        <f>Saldobalance!A235</f>
        <v>5570</v>
      </c>
      <c r="B201" s="79" t="str">
        <f>Saldobalance!B235</f>
        <v>Fadøl - lagerbeholdning</v>
      </c>
      <c r="C201">
        <v>2</v>
      </c>
    </row>
    <row r="202" spans="1:3" ht="15">
      <c r="A202" s="79">
        <f>Saldobalance!A236</f>
        <v>5580</v>
      </c>
      <c r="B202" s="79" t="str">
        <f>Saldobalance!B236</f>
        <v>Fåreprodukter- lagerbeholdning</v>
      </c>
      <c r="C202">
        <v>2</v>
      </c>
    </row>
    <row r="203" spans="1:3" ht="15">
      <c r="A203" s="79">
        <f>Saldobalance!A237</f>
        <v>5582</v>
      </c>
      <c r="B203" s="79" t="str">
        <f>Saldobalance!B237</f>
        <v>Hegn og hus/får</v>
      </c>
      <c r="C203">
        <v>2</v>
      </c>
    </row>
    <row r="204" spans="1:3" ht="15">
      <c r="A204" s="79">
        <f>Saldobalance!A238</f>
        <v>5584</v>
      </c>
      <c r="B204" s="79" t="str">
        <f>Saldobalance!B238</f>
        <v>Besætning/får</v>
      </c>
      <c r="C204">
        <v>2</v>
      </c>
    </row>
    <row r="205" spans="1:4" ht="15">
      <c r="A205" s="80">
        <v>5599</v>
      </c>
      <c r="B205" s="81" t="s">
        <v>155</v>
      </c>
      <c r="C205">
        <v>3</v>
      </c>
      <c r="D205">
        <v>5500</v>
      </c>
    </row>
    <row r="206" spans="1:3" ht="15">
      <c r="A206" s="77">
        <v>5900</v>
      </c>
      <c r="B206" s="78" t="s">
        <v>156</v>
      </c>
      <c r="C206">
        <v>4</v>
      </c>
    </row>
    <row r="207" spans="1:3" ht="15">
      <c r="A207" s="79">
        <f>Saldobalance!A243</f>
        <v>5910</v>
      </c>
      <c r="B207" s="79" t="str">
        <f>Saldobalance!B243</f>
        <v>Kontant</v>
      </c>
      <c r="C207">
        <v>2</v>
      </c>
    </row>
    <row r="208" spans="1:3" ht="15">
      <c r="A208" s="79">
        <f>Saldobalance!A244</f>
        <v>5920</v>
      </c>
      <c r="B208" s="79" t="str">
        <f>Saldobalance!B244</f>
        <v>Finansbanken 1122183</v>
      </c>
      <c r="C208">
        <v>2</v>
      </c>
    </row>
    <row r="209" spans="1:3" ht="15">
      <c r="A209" s="79">
        <f>Saldobalance!A245</f>
        <v>5930</v>
      </c>
      <c r="B209" s="79" t="str">
        <f>Saldobalance!B245</f>
        <v>Jyske Bank 135684-2 - Udgået</v>
      </c>
      <c r="C209">
        <v>2</v>
      </c>
    </row>
    <row r="210" spans="1:3" ht="15">
      <c r="A210" s="79">
        <f>Saldobalance!A246</f>
        <v>5940</v>
      </c>
      <c r="B210" s="79" t="str">
        <f>Saldobalance!B246</f>
        <v>Nordea - 3495871427</v>
      </c>
      <c r="C210">
        <v>2</v>
      </c>
    </row>
    <row r="211" spans="1:4" ht="15">
      <c r="A211" s="80">
        <v>5960</v>
      </c>
      <c r="B211" s="81" t="s">
        <v>158</v>
      </c>
      <c r="C211">
        <v>3</v>
      </c>
      <c r="D211">
        <v>5900</v>
      </c>
    </row>
    <row r="212" spans="1:4" ht="15">
      <c r="A212" s="80">
        <v>5990</v>
      </c>
      <c r="B212" s="81" t="s">
        <v>160</v>
      </c>
      <c r="C212">
        <v>3</v>
      </c>
      <c r="D212">
        <v>5400</v>
      </c>
    </row>
    <row r="213" spans="1:4" ht="15">
      <c r="A213" s="80">
        <v>5998</v>
      </c>
      <c r="B213" s="81" t="s">
        <v>159</v>
      </c>
      <c r="C213">
        <v>3</v>
      </c>
      <c r="D213">
        <v>5000</v>
      </c>
    </row>
    <row r="214" spans="1:3" ht="15">
      <c r="A214" s="77">
        <v>6000</v>
      </c>
      <c r="B214" s="78" t="s">
        <v>161</v>
      </c>
      <c r="C214">
        <v>5</v>
      </c>
    </row>
    <row r="215" spans="1:3" ht="15">
      <c r="A215" s="77">
        <v>6100</v>
      </c>
      <c r="B215" s="78" t="s">
        <v>162</v>
      </c>
      <c r="C215">
        <v>4</v>
      </c>
    </row>
    <row r="216" spans="1:3" ht="15">
      <c r="A216" s="79">
        <f>Saldobalance!A254</f>
        <v>6110</v>
      </c>
      <c r="B216" s="79" t="str">
        <f>Saldobalance!B254</f>
        <v>Egenkapital primo</v>
      </c>
      <c r="C216">
        <v>2</v>
      </c>
    </row>
    <row r="217" spans="1:4" ht="15">
      <c r="A217" s="80">
        <v>6112</v>
      </c>
      <c r="B217" s="81" t="s">
        <v>164</v>
      </c>
      <c r="C217">
        <v>6</v>
      </c>
      <c r="D217" t="s">
        <v>165</v>
      </c>
    </row>
    <row r="218" spans="1:3" ht="15">
      <c r="A218" s="79">
        <f>Saldobalance!A256</f>
        <v>6130</v>
      </c>
      <c r="B218" s="79" t="str">
        <f>Saldobalance!B256</f>
        <v>Årets reguleringer af egenkapitalen</v>
      </c>
      <c r="C218">
        <v>2</v>
      </c>
    </row>
    <row r="219" spans="1:4" ht="15">
      <c r="A219" s="80">
        <v>6199</v>
      </c>
      <c r="B219" s="81" t="s">
        <v>166</v>
      </c>
      <c r="C219">
        <v>6</v>
      </c>
      <c r="D219" t="s">
        <v>167</v>
      </c>
    </row>
    <row r="220" spans="1:3" ht="15">
      <c r="A220" s="77">
        <v>6300</v>
      </c>
      <c r="B220" s="78" t="s">
        <v>168</v>
      </c>
      <c r="C220">
        <v>4</v>
      </c>
    </row>
    <row r="221" spans="1:3" ht="15">
      <c r="A221" s="79">
        <f>Saldobalance!A260</f>
        <v>6320</v>
      </c>
      <c r="B221" s="79" t="str">
        <f>Saldobalance!B260</f>
        <v>Opsparing</v>
      </c>
      <c r="C221">
        <v>2</v>
      </c>
    </row>
    <row r="222" spans="1:3" ht="15">
      <c r="A222" s="79">
        <f>Saldobalance!A261</f>
        <v>6340</v>
      </c>
      <c r="B222" s="79" t="str">
        <f>Saldobalance!B261</f>
        <v>Huslejedepositum - Hus 26A</v>
      </c>
      <c r="C222">
        <v>2</v>
      </c>
    </row>
    <row r="223" spans="1:3" ht="15">
      <c r="A223" s="79">
        <f>Saldobalance!A262</f>
        <v>6345</v>
      </c>
      <c r="B223" s="79" t="str">
        <f>Saldobalance!B262</f>
        <v>Huslejedepositum - Hus 26C</v>
      </c>
      <c r="C223">
        <v>2</v>
      </c>
    </row>
    <row r="224" spans="1:3" ht="15">
      <c r="A224" s="79">
        <f>Saldobalance!A263</f>
        <v>6350</v>
      </c>
      <c r="B224" s="79" t="str">
        <f>Saldobalance!B263</f>
        <v>Indvendig vedligehold - Hus 26A</v>
      </c>
      <c r="C224">
        <v>2</v>
      </c>
    </row>
    <row r="225" spans="1:3" ht="15">
      <c r="A225" s="79">
        <f>Saldobalance!A264</f>
        <v>6360</v>
      </c>
      <c r="B225" s="79" t="str">
        <f>Saldobalance!B264</f>
        <v>Indvendig vedligehold - Hus 26C</v>
      </c>
      <c r="C225">
        <v>2</v>
      </c>
    </row>
    <row r="226" spans="1:3" ht="15">
      <c r="A226" s="79">
        <f>Saldobalance!A265</f>
        <v>6380</v>
      </c>
      <c r="B226" s="79" t="str">
        <f>Saldobalance!B265</f>
        <v>Øvrige hensættelser</v>
      </c>
      <c r="C226">
        <v>2</v>
      </c>
    </row>
    <row r="227" spans="1:4" ht="15">
      <c r="A227" s="80">
        <v>6399</v>
      </c>
      <c r="B227" s="81" t="s">
        <v>170</v>
      </c>
      <c r="C227">
        <v>3</v>
      </c>
      <c r="D227">
        <v>6300</v>
      </c>
    </row>
    <row r="228" spans="1:3" ht="15">
      <c r="A228" s="77">
        <v>6600</v>
      </c>
      <c r="B228" s="78" t="s">
        <v>198</v>
      </c>
      <c r="C228">
        <v>4</v>
      </c>
    </row>
    <row r="229" spans="1:3" ht="15">
      <c r="A229" s="77">
        <v>6605</v>
      </c>
      <c r="B229" s="78" t="s">
        <v>171</v>
      </c>
      <c r="C229">
        <v>4</v>
      </c>
    </row>
    <row r="230" spans="1:3" ht="15">
      <c r="A230" s="79">
        <f>Saldobalance!A271</f>
        <v>6620</v>
      </c>
      <c r="B230" s="79" t="str">
        <f>Saldobalance!B271</f>
        <v>Prioritetslån RKD</v>
      </c>
      <c r="C230">
        <v>2</v>
      </c>
    </row>
    <row r="231" spans="1:3" ht="15">
      <c r="A231" s="79">
        <f>Saldobalance!A272</f>
        <v>6630</v>
      </c>
      <c r="B231" s="79" t="str">
        <f>Saldobalance!B272</f>
        <v>Finansbanken 1243045 - fyrudskiftning</v>
      </c>
      <c r="C231">
        <v>2</v>
      </c>
    </row>
    <row r="232" spans="1:3" ht="15">
      <c r="A232" s="79">
        <f>Saldobalance!A273</f>
        <v>6640</v>
      </c>
      <c r="B232" s="79" t="str">
        <f>Saldobalance!B273</f>
        <v>Finansbanken 1234291 - komfur &amp; ovn</v>
      </c>
      <c r="C232">
        <v>2</v>
      </c>
    </row>
    <row r="233" spans="1:3" ht="15">
      <c r="A233" s="79">
        <f>Saldobalance!A274</f>
        <v>6650</v>
      </c>
      <c r="B233" s="79" t="str">
        <f>Saldobalance!B274</f>
        <v>Finansbanken 1328083 - Tørretumbler</v>
      </c>
      <c r="C233">
        <v>2</v>
      </c>
    </row>
    <row r="234" spans="1:3" ht="15">
      <c r="A234" s="79">
        <f>Saldobalance!A275</f>
        <v>6660</v>
      </c>
      <c r="B234" s="79" t="str">
        <f>Saldobalance!B275</f>
        <v>Nordea Prioritet</v>
      </c>
      <c r="C234">
        <v>2</v>
      </c>
    </row>
    <row r="235" spans="1:4" ht="15">
      <c r="A235" s="80">
        <v>6799</v>
      </c>
      <c r="B235" s="81" t="s">
        <v>173</v>
      </c>
      <c r="C235">
        <v>3</v>
      </c>
      <c r="D235">
        <v>6605</v>
      </c>
    </row>
    <row r="236" spans="1:3" ht="15">
      <c r="A236" s="77">
        <v>6900</v>
      </c>
      <c r="B236" s="78" t="s">
        <v>174</v>
      </c>
      <c r="C236">
        <v>4</v>
      </c>
    </row>
    <row r="237" spans="1:3" ht="15">
      <c r="A237" s="79">
        <f>Saldobalance!A279</f>
        <v>6905</v>
      </c>
      <c r="B237" s="79" t="str">
        <f>Saldobalance!B279</f>
        <v>Tilgodehavende - kreditorer</v>
      </c>
      <c r="C237">
        <v>2</v>
      </c>
    </row>
    <row r="238" spans="1:3" ht="15">
      <c r="A238" s="79">
        <f>Saldobalance!A280</f>
        <v>6910</v>
      </c>
      <c r="B238" s="79" t="str">
        <f>Saldobalance!B280</f>
        <v>Skyldige omkostninger</v>
      </c>
      <c r="C238">
        <v>2</v>
      </c>
    </row>
    <row r="239" spans="1:3" ht="15">
      <c r="A239" s="79">
        <f>Saldobalance!A281</f>
        <v>6920</v>
      </c>
      <c r="B239" s="79" t="str">
        <f>Saldobalance!B281</f>
        <v>I/S gæld til GEF</v>
      </c>
      <c r="C239">
        <v>2</v>
      </c>
    </row>
    <row r="240" spans="1:4" ht="15">
      <c r="A240" s="80">
        <v>6999</v>
      </c>
      <c r="B240" s="81" t="s">
        <v>177</v>
      </c>
      <c r="C240">
        <v>3</v>
      </c>
      <c r="D240">
        <v>6900</v>
      </c>
    </row>
    <row r="241" spans="1:4" ht="15">
      <c r="A241" s="80">
        <v>7999</v>
      </c>
      <c r="B241" s="81" t="s">
        <v>178</v>
      </c>
      <c r="C241">
        <v>3</v>
      </c>
      <c r="D241">
        <v>6600</v>
      </c>
    </row>
    <row r="242" spans="1:4" ht="15">
      <c r="A242" s="80">
        <v>8999</v>
      </c>
      <c r="B242" s="81" t="s">
        <v>179</v>
      </c>
      <c r="C242">
        <v>6</v>
      </c>
      <c r="D242" t="s">
        <v>180</v>
      </c>
    </row>
    <row r="243" spans="1:3" ht="15">
      <c r="A243" s="79">
        <f>Saldobalance!A285</f>
        <v>9900</v>
      </c>
      <c r="B243" s="79" t="str">
        <f>Saldobalance!B285</f>
        <v>Analyse/fejlkonto</v>
      </c>
      <c r="C243">
        <v>2</v>
      </c>
    </row>
    <row r="244" spans="1:4" ht="15">
      <c r="A244" s="80">
        <v>9990</v>
      </c>
      <c r="B244" s="81" t="s">
        <v>182</v>
      </c>
      <c r="C244">
        <v>3</v>
      </c>
      <c r="D244">
        <v>1000</v>
      </c>
    </row>
  </sheetData>
  <sheetProtection/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34.57421875" style="0" customWidth="1"/>
    <col min="3" max="3" width="9.28125" style="0" bestFit="1" customWidth="1"/>
    <col min="5" max="5" width="11.140625" style="0" bestFit="1" customWidth="1"/>
    <col min="6" max="6" width="9.28125" style="0" bestFit="1" customWidth="1"/>
  </cols>
  <sheetData>
    <row r="1" ht="15">
      <c r="A1" s="115" t="s">
        <v>335</v>
      </c>
    </row>
    <row r="2" spans="1:10" ht="12.75">
      <c r="A2" s="119" t="s">
        <v>336</v>
      </c>
      <c r="B2" s="128" t="s">
        <v>271</v>
      </c>
      <c r="C2" s="128" t="s">
        <v>272</v>
      </c>
      <c r="D2" s="128" t="s">
        <v>273</v>
      </c>
      <c r="E2" s="128" t="s">
        <v>274</v>
      </c>
      <c r="F2" s="128" t="s">
        <v>275</v>
      </c>
      <c r="G2" s="128" t="s">
        <v>276</v>
      </c>
      <c r="H2" s="128" t="s">
        <v>92</v>
      </c>
      <c r="J2" s="128" t="s">
        <v>337</v>
      </c>
    </row>
    <row r="3" spans="1:7" ht="12.75">
      <c r="A3" s="129" t="s">
        <v>277</v>
      </c>
      <c r="B3" s="112">
        <v>12</v>
      </c>
      <c r="C3" s="130">
        <v>146.54</v>
      </c>
      <c r="D3" s="131">
        <f aca="true" t="shared" si="0" ref="D3:D10">B3*C3</f>
        <v>1758.48</v>
      </c>
      <c r="E3" s="131">
        <f>D3*1.25</f>
        <v>2198.1</v>
      </c>
      <c r="F3" s="131"/>
      <c r="G3" s="112"/>
    </row>
    <row r="4" spans="1:7" ht="12.75">
      <c r="A4" s="129" t="s">
        <v>278</v>
      </c>
      <c r="B4" s="112">
        <v>1</v>
      </c>
      <c r="C4" s="131">
        <v>290.02</v>
      </c>
      <c r="D4" s="131">
        <f>B4*C4</f>
        <v>290.02</v>
      </c>
      <c r="E4" s="131">
        <f>D4*1.25</f>
        <v>362.525</v>
      </c>
      <c r="F4" s="131"/>
      <c r="G4" s="131"/>
    </row>
    <row r="5" spans="1:7" ht="12.75">
      <c r="A5" s="129" t="s">
        <v>279</v>
      </c>
      <c r="B5" s="112">
        <v>25</v>
      </c>
      <c r="C5" s="130">
        <v>359.04</v>
      </c>
      <c r="D5" s="131">
        <f t="shared" si="0"/>
        <v>8976</v>
      </c>
      <c r="E5" s="131">
        <f aca="true" t="shared" si="1" ref="E5:E19">D5*1.25</f>
        <v>11220</v>
      </c>
      <c r="F5" s="131"/>
      <c r="G5" s="112"/>
    </row>
    <row r="6" spans="1:7" ht="12.75">
      <c r="A6" s="129" t="s">
        <v>280</v>
      </c>
      <c r="B6" s="112">
        <v>25</v>
      </c>
      <c r="C6" s="130">
        <v>15</v>
      </c>
      <c r="D6" s="131">
        <f t="shared" si="0"/>
        <v>375</v>
      </c>
      <c r="E6" s="131">
        <f t="shared" si="1"/>
        <v>468.75</v>
      </c>
      <c r="F6" s="131"/>
      <c r="G6" s="112"/>
    </row>
    <row r="7" spans="1:7" ht="12.75">
      <c r="A7" s="129" t="s">
        <v>281</v>
      </c>
      <c r="B7" s="112">
        <v>25</v>
      </c>
      <c r="C7" s="131">
        <v>26.5</v>
      </c>
      <c r="D7" s="131">
        <f t="shared" si="0"/>
        <v>662.5</v>
      </c>
      <c r="E7" s="131">
        <f t="shared" si="1"/>
        <v>828.125</v>
      </c>
      <c r="F7" s="131"/>
      <c r="G7" s="112"/>
    </row>
    <row r="8" spans="1:7" ht="12.75">
      <c r="A8" s="129" t="s">
        <v>282</v>
      </c>
      <c r="B8" s="112">
        <v>25</v>
      </c>
      <c r="C8" s="131">
        <v>26.5</v>
      </c>
      <c r="D8" s="131">
        <f t="shared" si="0"/>
        <v>662.5</v>
      </c>
      <c r="E8" s="131">
        <f t="shared" si="1"/>
        <v>828.125</v>
      </c>
      <c r="F8" s="131"/>
      <c r="G8" s="112"/>
    </row>
    <row r="9" spans="1:7" ht="12.75">
      <c r="A9" s="129" t="s">
        <v>283</v>
      </c>
      <c r="B9" s="112">
        <v>25</v>
      </c>
      <c r="C9" s="130">
        <v>40</v>
      </c>
      <c r="D9" s="131">
        <f t="shared" si="0"/>
        <v>1000</v>
      </c>
      <c r="E9" s="131">
        <f t="shared" si="1"/>
        <v>1250</v>
      </c>
      <c r="F9" s="131"/>
      <c r="G9" s="112"/>
    </row>
    <row r="10" spans="1:7" ht="12.75">
      <c r="A10" s="132" t="s">
        <v>284</v>
      </c>
      <c r="B10" s="133">
        <v>25</v>
      </c>
      <c r="C10" s="134">
        <v>363.2</v>
      </c>
      <c r="D10" s="134">
        <f t="shared" si="0"/>
        <v>9080</v>
      </c>
      <c r="E10" s="131">
        <f t="shared" si="1"/>
        <v>11350</v>
      </c>
      <c r="F10" s="131"/>
      <c r="G10" s="112"/>
    </row>
    <row r="11" spans="1:10" ht="13.5" thickBot="1">
      <c r="A11" s="129" t="s">
        <v>285</v>
      </c>
      <c r="B11" s="112"/>
      <c r="C11" s="131"/>
      <c r="D11" s="131">
        <f>SUM(D3:D10)</f>
        <v>22804.5</v>
      </c>
      <c r="E11" s="135">
        <f t="shared" si="1"/>
        <v>28505.625</v>
      </c>
      <c r="F11" s="135">
        <f>E11/6/25</f>
        <v>190.0375</v>
      </c>
      <c r="G11" s="135">
        <f>12*F11</f>
        <v>2280.45</v>
      </c>
      <c r="H11" s="135">
        <f>2*F11</f>
        <v>380.075</v>
      </c>
      <c r="J11" s="136">
        <f>H11-463.84</f>
        <v>-83.76499999999999</v>
      </c>
    </row>
    <row r="12" spans="1:7" ht="13.5" thickTop="1">
      <c r="A12" s="129"/>
      <c r="B12" s="112"/>
      <c r="C12" s="131"/>
      <c r="D12" s="131"/>
      <c r="E12" s="131"/>
      <c r="F12" s="131"/>
      <c r="G12" s="131"/>
    </row>
    <row r="13" spans="1:7" ht="12.75">
      <c r="A13" s="129" t="s">
        <v>279</v>
      </c>
      <c r="B13" s="112">
        <v>1</v>
      </c>
      <c r="C13" s="130">
        <v>359.04</v>
      </c>
      <c r="D13" s="131">
        <f>B13*C13</f>
        <v>359.04</v>
      </c>
      <c r="E13" s="131">
        <f t="shared" si="1"/>
        <v>448.8</v>
      </c>
      <c r="F13" s="131"/>
      <c r="G13" s="112"/>
    </row>
    <row r="14" spans="1:7" ht="12.75">
      <c r="A14" s="132" t="s">
        <v>277</v>
      </c>
      <c r="B14" s="133">
        <v>1</v>
      </c>
      <c r="C14" s="137">
        <v>146.54</v>
      </c>
      <c r="D14" s="134">
        <f>B14*C14</f>
        <v>146.54</v>
      </c>
      <c r="E14" s="134">
        <f>D14*1.25</f>
        <v>183.17499999999998</v>
      </c>
      <c r="F14" s="134"/>
      <c r="G14" s="133"/>
    </row>
    <row r="15" spans="1:8" ht="13.5" thickBot="1">
      <c r="A15" s="129" t="s">
        <v>286</v>
      </c>
      <c r="B15" s="112"/>
      <c r="C15" s="130"/>
      <c r="D15" s="131"/>
      <c r="E15" s="135">
        <f>SUM(E13:E14)</f>
        <v>631.975</v>
      </c>
      <c r="F15" s="135">
        <f>E15/6</f>
        <v>105.32916666666667</v>
      </c>
      <c r="G15" s="135">
        <f>2*E15</f>
        <v>1263.95</v>
      </c>
      <c r="H15" s="135">
        <f>2*F15</f>
        <v>210.65833333333333</v>
      </c>
    </row>
    <row r="16" spans="1:7" ht="13.5" thickTop="1">
      <c r="A16" s="129"/>
      <c r="B16" s="112"/>
      <c r="C16" s="130"/>
      <c r="D16" s="131"/>
      <c r="E16" s="131"/>
      <c r="F16" s="131"/>
      <c r="G16" s="112"/>
    </row>
    <row r="17" spans="1:7" ht="12.75">
      <c r="A17" s="129" t="s">
        <v>287</v>
      </c>
      <c r="B17" s="112">
        <v>1</v>
      </c>
      <c r="C17" s="131">
        <v>1062.84</v>
      </c>
      <c r="D17" s="131">
        <f>B17*C17</f>
        <v>1062.84</v>
      </c>
      <c r="E17" s="131">
        <f>D17*1.25</f>
        <v>1328.55</v>
      </c>
      <c r="F17" s="131"/>
      <c r="G17" s="131"/>
    </row>
    <row r="18" spans="1:7" ht="12.75">
      <c r="A18" s="132" t="s">
        <v>288</v>
      </c>
      <c r="B18" s="133">
        <v>1</v>
      </c>
      <c r="C18" s="134">
        <v>2096.78</v>
      </c>
      <c r="D18" s="134">
        <f>B18*C18</f>
        <v>2096.78</v>
      </c>
      <c r="E18" s="134">
        <f t="shared" si="1"/>
        <v>2620.9750000000004</v>
      </c>
      <c r="F18" s="134"/>
      <c r="G18" s="134"/>
    </row>
    <row r="19" spans="1:10" ht="13.5" thickBot="1">
      <c r="A19" s="129" t="s">
        <v>289</v>
      </c>
      <c r="B19" s="112"/>
      <c r="C19" s="131"/>
      <c r="D19" s="131">
        <f>SUM(D17:D18)</f>
        <v>3159.62</v>
      </c>
      <c r="E19" s="135">
        <f t="shared" si="1"/>
        <v>3949.5249999999996</v>
      </c>
      <c r="F19" s="135">
        <f>E19/6</f>
        <v>658.2541666666666</v>
      </c>
      <c r="G19" s="135">
        <f>2*E19</f>
        <v>7899.049999999999</v>
      </c>
      <c r="H19" s="135">
        <f>2*F19</f>
        <v>1316.5083333333332</v>
      </c>
      <c r="J19" s="136">
        <f>H19-1645.64</f>
        <v>-329.1316666666669</v>
      </c>
    </row>
    <row r="20" spans="1:7" ht="13.5" thickTop="1">
      <c r="A20" s="112"/>
      <c r="B20" s="112"/>
      <c r="C20" s="131"/>
      <c r="D20" s="131"/>
      <c r="E20" s="131"/>
      <c r="F20" s="131"/>
      <c r="G20" s="112"/>
    </row>
    <row r="21" spans="1:7" ht="12.75">
      <c r="A21" s="112"/>
      <c r="B21" s="112"/>
      <c r="C21" s="131"/>
      <c r="D21" s="131"/>
      <c r="E21" s="131"/>
      <c r="F21" s="131"/>
      <c r="G21" s="112"/>
    </row>
    <row r="22" spans="1:7" ht="12.75">
      <c r="A22" s="129" t="s">
        <v>290</v>
      </c>
      <c r="B22" s="112"/>
      <c r="C22" s="131"/>
      <c r="D22" s="131"/>
      <c r="E22" s="131">
        <f>E11+E19+E15</f>
        <v>33087.125</v>
      </c>
      <c r="F22" s="131"/>
      <c r="G22" s="112"/>
    </row>
    <row r="25" spans="1:5" ht="12.75">
      <c r="A25" t="s">
        <v>291</v>
      </c>
      <c r="E25">
        <v>1037.81</v>
      </c>
    </row>
    <row r="26" spans="1:10" ht="13.5" thickBot="1">
      <c r="A26" s="120" t="s">
        <v>292</v>
      </c>
      <c r="B26" s="120"/>
      <c r="C26" s="120"/>
      <c r="D26" s="120"/>
      <c r="E26" s="116">
        <f>E15</f>
        <v>631.975</v>
      </c>
      <c r="F26" s="134">
        <f>E26/6</f>
        <v>105.32916666666667</v>
      </c>
      <c r="G26" s="134">
        <f>2*E26</f>
        <v>1263.95</v>
      </c>
      <c r="H26" s="134">
        <f>2*F26</f>
        <v>210.65833333333333</v>
      </c>
      <c r="J26" s="136">
        <f>H26-263.325</f>
        <v>-52.66666666666666</v>
      </c>
    </row>
    <row r="27" spans="5:8" ht="14.25" thickBot="1" thickTop="1">
      <c r="E27" s="135">
        <f>SUM(E25:E26)</f>
        <v>1669.7849999999999</v>
      </c>
      <c r="F27" s="138">
        <f>E27/6</f>
        <v>278.29749999999996</v>
      </c>
      <c r="G27" s="138">
        <f>2*E27</f>
        <v>3339.5699999999997</v>
      </c>
      <c r="H27" s="138">
        <f>2*F27</f>
        <v>556.5949999999999</v>
      </c>
    </row>
    <row r="28" ht="13.5" thickTop="1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RAMBØLL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Jens</dc:creator>
  <cp:keywords/>
  <dc:description/>
  <cp:lastModifiedBy>Dan Mølholm</cp:lastModifiedBy>
  <cp:lastPrinted>2013-01-13T11:29:26Z</cp:lastPrinted>
  <dcterms:created xsi:type="dcterms:W3CDTF">2005-04-10T13:24:59Z</dcterms:created>
  <dcterms:modified xsi:type="dcterms:W3CDTF">2014-01-15T19:54:24Z</dcterms:modified>
  <cp:category/>
  <cp:version/>
  <cp:contentType/>
  <cp:contentStatus/>
</cp:coreProperties>
</file>