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" yWindow="48" windowWidth="9492" windowHeight="7500"/>
  </bookViews>
  <sheets>
    <sheet name="Regnskab og budget" sheetId="10" r:id="rId1"/>
    <sheet name="Saldobalance" sheetId="11" r:id="rId2"/>
    <sheet name="Budget 12.04.24" sheetId="8" r:id="rId3"/>
    <sheet name="Kontoplan 13.01.13" sheetId="9" r:id="rId4"/>
    <sheet name="Bilag 250 Værdi af aktiver" sheetId="13" r:id="rId5"/>
    <sheet name="Bilag 310 Afdragsprofil" sheetId="12" r:id="rId6"/>
    <sheet name="Bilag 473 Renovation" sheetId="14" r:id="rId7"/>
    <sheet name="Est renteudgifter 2012" sheetId="15" r:id="rId8"/>
    <sheet name="Bilag 499 Opsparing" sheetId="16" r:id="rId9"/>
  </sheets>
  <calcPr calcId="145621"/>
</workbook>
</file>

<file path=xl/calcChain.xml><?xml version="1.0" encoding="utf-8"?>
<calcChain xmlns="http://schemas.openxmlformats.org/spreadsheetml/2006/main">
  <c r="A62" i="10" l="1"/>
  <c r="D34" i="8" s="1"/>
  <c r="D62" i="10"/>
  <c r="J116" i="10"/>
  <c r="J119" i="10"/>
  <c r="J84" i="10"/>
  <c r="E51" i="8" s="1"/>
  <c r="G51" i="8" s="1"/>
  <c r="A50" i="9"/>
  <c r="B50" i="9"/>
  <c r="A51" i="9"/>
  <c r="B51" i="9"/>
  <c r="A52" i="9"/>
  <c r="B52" i="9"/>
  <c r="B49" i="9"/>
  <c r="A49" i="9"/>
  <c r="B48" i="9"/>
  <c r="A48" i="9"/>
  <c r="B47" i="9"/>
  <c r="A47" i="9"/>
  <c r="A54" i="9"/>
  <c r="B54" i="9"/>
  <c r="A55" i="9"/>
  <c r="B55" i="9"/>
  <c r="A57" i="9"/>
  <c r="B57" i="9"/>
  <c r="A58" i="9"/>
  <c r="B58" i="9"/>
  <c r="A44" i="9"/>
  <c r="E38" i="8"/>
  <c r="G38" i="8" s="1"/>
  <c r="E34" i="8"/>
  <c r="G34" i="8" s="1"/>
  <c r="E35" i="8"/>
  <c r="G35" i="8" s="1"/>
  <c r="E36" i="8"/>
  <c r="G36" i="8" s="1"/>
  <c r="E37" i="8"/>
  <c r="G37" i="8" s="1"/>
  <c r="E33" i="8"/>
  <c r="G33" i="8"/>
  <c r="A34" i="8"/>
  <c r="A35" i="8"/>
  <c r="A36" i="8"/>
  <c r="A37" i="8"/>
  <c r="A38" i="8"/>
  <c r="A33" i="8"/>
  <c r="C38" i="8"/>
  <c r="B38" i="8"/>
  <c r="C37" i="8"/>
  <c r="B37" i="8"/>
  <c r="C36" i="8"/>
  <c r="B36" i="8"/>
  <c r="C35" i="8"/>
  <c r="B35" i="8"/>
  <c r="C34" i="8"/>
  <c r="B34" i="8"/>
  <c r="C33" i="8"/>
  <c r="B33" i="8"/>
  <c r="K53" i="10"/>
  <c r="D58" i="10"/>
  <c r="D57" i="10"/>
  <c r="D63" i="10"/>
  <c r="D54" i="10"/>
  <c r="A54" i="10"/>
  <c r="D33" i="8" s="1"/>
  <c r="A58" i="10"/>
  <c r="D35" i="8"/>
  <c r="A57" i="10"/>
  <c r="D36" i="8" s="1"/>
  <c r="A63" i="10"/>
  <c r="D37" i="8"/>
  <c r="A66" i="10"/>
  <c r="D38" i="8" s="1"/>
  <c r="A53" i="10"/>
  <c r="D279" i="11"/>
  <c r="C279" i="11"/>
  <c r="E279" i="11" s="1"/>
  <c r="E278" i="11"/>
  <c r="D277" i="11"/>
  <c r="E277" i="11" s="1"/>
  <c r="C277" i="11"/>
  <c r="D276" i="11"/>
  <c r="E276" i="11" s="1"/>
  <c r="C276" i="11"/>
  <c r="D275" i="11"/>
  <c r="E275" i="11"/>
  <c r="C275" i="11"/>
  <c r="E274" i="11"/>
  <c r="E273" i="11"/>
  <c r="E272" i="11"/>
  <c r="D269" i="11"/>
  <c r="E269" i="11" s="1"/>
  <c r="C269" i="11"/>
  <c r="E268" i="11"/>
  <c r="E267" i="11"/>
  <c r="E266" i="11"/>
  <c r="E265" i="11"/>
  <c r="E264" i="11"/>
  <c r="D259" i="11"/>
  <c r="E259" i="11" s="1"/>
  <c r="C259" i="11"/>
  <c r="E258" i="11"/>
  <c r="E257" i="11"/>
  <c r="E256" i="11"/>
  <c r="E255" i="11"/>
  <c r="E254" i="11"/>
  <c r="E253" i="11"/>
  <c r="D250" i="11"/>
  <c r="C250" i="11"/>
  <c r="E250" i="11"/>
  <c r="E249" i="11"/>
  <c r="D248" i="11"/>
  <c r="C248" i="11"/>
  <c r="E248" i="11" s="1"/>
  <c r="E247" i="11"/>
  <c r="D242" i="11"/>
  <c r="C242" i="11"/>
  <c r="E242" i="11" s="1"/>
  <c r="D241" i="11"/>
  <c r="C241" i="11"/>
  <c r="E241" i="11" s="1"/>
  <c r="D240" i="11"/>
  <c r="E240" i="11" s="1"/>
  <c r="C240" i="11"/>
  <c r="E239" i="11"/>
  <c r="E238" i="11"/>
  <c r="E237" i="11"/>
  <c r="E236" i="11"/>
  <c r="D233" i="11"/>
  <c r="C233" i="11"/>
  <c r="E232" i="11"/>
  <c r="E231" i="11"/>
  <c r="E230" i="11"/>
  <c r="E229" i="11"/>
  <c r="E228" i="11"/>
  <c r="E227" i="11"/>
  <c r="E226" i="11"/>
  <c r="E225" i="11"/>
  <c r="E224" i="11"/>
  <c r="E223" i="11"/>
  <c r="D220" i="11"/>
  <c r="E220" i="11" s="1"/>
  <c r="C220" i="11"/>
  <c r="E219" i="11"/>
  <c r="D214" i="11"/>
  <c r="E214" i="11" s="1"/>
  <c r="C214" i="11"/>
  <c r="E213" i="11"/>
  <c r="D212" i="11"/>
  <c r="E212" i="11" s="1"/>
  <c r="C212" i="11"/>
  <c r="E211" i="11"/>
  <c r="E210" i="11"/>
  <c r="E209" i="11"/>
  <c r="D206" i="11"/>
  <c r="C206" i="11"/>
  <c r="E206" i="11" s="1"/>
  <c r="E205" i="11"/>
  <c r="E204" i="11"/>
  <c r="E203" i="11"/>
  <c r="E202" i="11"/>
  <c r="E201" i="11"/>
  <c r="D194" i="11"/>
  <c r="C194" i="11"/>
  <c r="E194" i="11" s="1"/>
  <c r="D193" i="11"/>
  <c r="C193" i="11"/>
  <c r="E193" i="11" s="1"/>
  <c r="D192" i="11"/>
  <c r="C192" i="11"/>
  <c r="E191" i="11"/>
  <c r="E190" i="11"/>
  <c r="D187" i="11"/>
  <c r="C187" i="11"/>
  <c r="E187" i="11"/>
  <c r="E186" i="11"/>
  <c r="E185" i="11"/>
  <c r="D182" i="11"/>
  <c r="C182" i="11"/>
  <c r="E182" i="11" s="1"/>
  <c r="E181" i="11"/>
  <c r="E180" i="11"/>
  <c r="E179" i="11"/>
  <c r="E178" i="11"/>
  <c r="D175" i="11"/>
  <c r="C175" i="11"/>
  <c r="E175" i="11"/>
  <c r="E174" i="11"/>
  <c r="E173" i="11"/>
  <c r="E172" i="11"/>
  <c r="D169" i="11"/>
  <c r="E169" i="11" s="1"/>
  <c r="C169" i="11"/>
  <c r="E168" i="11"/>
  <c r="E167" i="11"/>
  <c r="E166" i="11"/>
  <c r="D163" i="11"/>
  <c r="C163" i="11"/>
  <c r="E163" i="11" s="1"/>
  <c r="E162" i="11"/>
  <c r="E161" i="11"/>
  <c r="E160" i="11"/>
  <c r="E159" i="11"/>
  <c r="D156" i="11"/>
  <c r="C156" i="11"/>
  <c r="E155" i="11"/>
  <c r="E154" i="11"/>
  <c r="E153" i="11"/>
  <c r="E152" i="11"/>
  <c r="D149" i="11"/>
  <c r="E149" i="11"/>
  <c r="C149" i="11"/>
  <c r="E148" i="11"/>
  <c r="E147" i="11"/>
  <c r="E146" i="11"/>
  <c r="E145" i="11"/>
  <c r="E144" i="11"/>
  <c r="E143" i="11"/>
  <c r="E142" i="11"/>
  <c r="D137" i="11"/>
  <c r="C137" i="11"/>
  <c r="E137" i="11" s="1"/>
  <c r="D136" i="11"/>
  <c r="E136" i="11" s="1"/>
  <c r="C136" i="11"/>
  <c r="D135" i="11"/>
  <c r="G137" i="10" s="1"/>
  <c r="H137" i="10" s="1"/>
  <c r="E135" i="11"/>
  <c r="C135" i="11"/>
  <c r="D134" i="11"/>
  <c r="C134" i="11"/>
  <c r="E133" i="11"/>
  <c r="E132" i="11"/>
  <c r="E131" i="11"/>
  <c r="E130" i="11"/>
  <c r="D127" i="11"/>
  <c r="C127" i="11"/>
  <c r="E127" i="11" s="1"/>
  <c r="E126" i="11"/>
  <c r="E125" i="11"/>
  <c r="D122" i="11"/>
  <c r="C122" i="11"/>
  <c r="E121" i="11"/>
  <c r="E120" i="11"/>
  <c r="E119" i="11"/>
  <c r="D116" i="11"/>
  <c r="E116" i="11" s="1"/>
  <c r="C116" i="11"/>
  <c r="E115" i="11"/>
  <c r="E114" i="11"/>
  <c r="E113" i="11"/>
  <c r="E112" i="11"/>
  <c r="E111" i="11"/>
  <c r="D108" i="11"/>
  <c r="C108" i="11"/>
  <c r="E107" i="11"/>
  <c r="E106" i="11"/>
  <c r="E105" i="11"/>
  <c r="E104" i="11"/>
  <c r="D101" i="11"/>
  <c r="G102" i="10" s="1"/>
  <c r="H102" i="10" s="1"/>
  <c r="E101" i="11"/>
  <c r="C101" i="11"/>
  <c r="E100" i="11"/>
  <c r="E99" i="11"/>
  <c r="E98" i="11"/>
  <c r="E97" i="11"/>
  <c r="E96" i="11"/>
  <c r="E93" i="11"/>
  <c r="E92" i="11"/>
  <c r="D89" i="11"/>
  <c r="C89" i="11"/>
  <c r="E89" i="11" s="1"/>
  <c r="D88" i="11"/>
  <c r="C88" i="11"/>
  <c r="E87" i="11"/>
  <c r="D84" i="11"/>
  <c r="C84" i="11"/>
  <c r="E83" i="11"/>
  <c r="E82" i="11"/>
  <c r="E81" i="11"/>
  <c r="E80" i="11"/>
  <c r="E79" i="11"/>
  <c r="E78" i="11"/>
  <c r="E77" i="11"/>
  <c r="E76" i="11"/>
  <c r="E75" i="11"/>
  <c r="E74" i="11"/>
  <c r="D71" i="11"/>
  <c r="C71" i="11"/>
  <c r="E71" i="11" s="1"/>
  <c r="E70" i="11"/>
  <c r="E69" i="11"/>
  <c r="E68" i="11"/>
  <c r="E67" i="11"/>
  <c r="E66" i="11"/>
  <c r="E63" i="11"/>
  <c r="E62" i="11"/>
  <c r="D61" i="11"/>
  <c r="E61" i="11" s="1"/>
  <c r="G53" i="10"/>
  <c r="C61" i="11"/>
  <c r="E53" i="10"/>
  <c r="E60" i="11"/>
  <c r="E59" i="11"/>
  <c r="E58" i="11"/>
  <c r="E57" i="11"/>
  <c r="E56" i="11"/>
  <c r="E55" i="11"/>
  <c r="D52" i="11"/>
  <c r="C52" i="11"/>
  <c r="E47" i="10" s="1"/>
  <c r="L47" i="10" s="1"/>
  <c r="E52" i="11"/>
  <c r="E51" i="11"/>
  <c r="E50" i="11"/>
  <c r="E49" i="11"/>
  <c r="E48" i="11"/>
  <c r="D45" i="11"/>
  <c r="C45" i="11"/>
  <c r="E45" i="11" s="1"/>
  <c r="E44" i="11"/>
  <c r="E43" i="11"/>
  <c r="E42" i="11"/>
  <c r="E41" i="11"/>
  <c r="E40" i="11"/>
  <c r="E39" i="11"/>
  <c r="E38" i="11"/>
  <c r="E37" i="11"/>
  <c r="E36" i="11"/>
  <c r="E35" i="11"/>
  <c r="D32" i="11"/>
  <c r="C32" i="11"/>
  <c r="E32" i="11"/>
  <c r="E31" i="11"/>
  <c r="E30" i="11"/>
  <c r="E29" i="11"/>
  <c r="E28" i="11"/>
  <c r="E27" i="11"/>
  <c r="E26" i="11"/>
  <c r="E25" i="11"/>
  <c r="D22" i="11"/>
  <c r="E22" i="11" s="1"/>
  <c r="C22" i="11"/>
  <c r="E21" i="11"/>
  <c r="E20" i="11"/>
  <c r="E19" i="11"/>
  <c r="E18" i="11"/>
  <c r="E17" i="11"/>
  <c r="E16" i="11"/>
  <c r="E15" i="11"/>
  <c r="D10" i="11"/>
  <c r="C10" i="11"/>
  <c r="E10" i="11"/>
  <c r="E9" i="11"/>
  <c r="E8" i="11"/>
  <c r="E7" i="11"/>
  <c r="E6" i="11"/>
  <c r="G191" i="10"/>
  <c r="G127" i="10"/>
  <c r="H127" i="10" s="1"/>
  <c r="E115" i="10"/>
  <c r="L115" i="10" s="1"/>
  <c r="K72" i="10"/>
  <c r="K98" i="10"/>
  <c r="E57" i="8" s="1"/>
  <c r="G57" i="8" s="1"/>
  <c r="J85" i="10"/>
  <c r="E137" i="10"/>
  <c r="E127" i="10"/>
  <c r="E72" i="10"/>
  <c r="E42" i="8"/>
  <c r="G42" i="8"/>
  <c r="C42" i="8"/>
  <c r="B42" i="8"/>
  <c r="A42" i="8"/>
  <c r="F74" i="10"/>
  <c r="D74" i="10"/>
  <c r="A74" i="10"/>
  <c r="D42" i="8" s="1"/>
  <c r="C151" i="10"/>
  <c r="C5" i="16"/>
  <c r="C6" i="16"/>
  <c r="C10" i="16"/>
  <c r="A151" i="10"/>
  <c r="G149" i="10"/>
  <c r="A149" i="10"/>
  <c r="A80" i="8"/>
  <c r="D80" i="8"/>
  <c r="C80" i="8"/>
  <c r="B80" i="8"/>
  <c r="C153" i="10"/>
  <c r="J19" i="14"/>
  <c r="B19" i="15"/>
  <c r="B4" i="15"/>
  <c r="B7" i="15"/>
  <c r="B9" i="15"/>
  <c r="B6" i="15"/>
  <c r="D18" i="14"/>
  <c r="D17" i="14"/>
  <c r="D14" i="14"/>
  <c r="E14" i="14" s="1"/>
  <c r="D13" i="14"/>
  <c r="E13" i="14"/>
  <c r="E15" i="14"/>
  <c r="D10" i="14"/>
  <c r="E10" i="14"/>
  <c r="D9" i="14"/>
  <c r="E9" i="14"/>
  <c r="D8" i="14"/>
  <c r="E8" i="14"/>
  <c r="D7" i="14"/>
  <c r="E7" i="14"/>
  <c r="D6" i="14"/>
  <c r="E6" i="14"/>
  <c r="D5" i="14"/>
  <c r="E5" i="14"/>
  <c r="D4" i="14"/>
  <c r="E4" i="14"/>
  <c r="D3" i="14"/>
  <c r="E3" i="14" s="1"/>
  <c r="D11" i="14"/>
  <c r="E11" i="14" s="1"/>
  <c r="G14" i="12"/>
  <c r="E79" i="10"/>
  <c r="K102" i="10"/>
  <c r="K137" i="10" s="1"/>
  <c r="L137" i="10" s="1"/>
  <c r="E60" i="8"/>
  <c r="G60" i="8" s="1"/>
  <c r="E62" i="8"/>
  <c r="G62" i="8" s="1"/>
  <c r="H8" i="12"/>
  <c r="C155" i="10"/>
  <c r="E92" i="10"/>
  <c r="G157" i="10"/>
  <c r="A157" i="10"/>
  <c r="G73" i="10"/>
  <c r="E73" i="10"/>
  <c r="G155" i="10"/>
  <c r="A175" i="9"/>
  <c r="B175" i="9"/>
  <c r="B16" i="12"/>
  <c r="B4" i="12"/>
  <c r="E56" i="8"/>
  <c r="G56" i="8" s="1"/>
  <c r="E58" i="8"/>
  <c r="G58" i="8" s="1"/>
  <c r="B76" i="9"/>
  <c r="A76" i="9"/>
  <c r="A17" i="9"/>
  <c r="B17" i="9"/>
  <c r="B236" i="9"/>
  <c r="A236" i="9"/>
  <c r="A231" i="9"/>
  <c r="B231" i="9"/>
  <c r="A232" i="9"/>
  <c r="B232" i="9"/>
  <c r="B230" i="9"/>
  <c r="A230" i="9"/>
  <c r="A227" i="9"/>
  <c r="B227" i="9"/>
  <c r="A224" i="9"/>
  <c r="B224" i="9"/>
  <c r="A225" i="9"/>
  <c r="B225" i="9"/>
  <c r="A226" i="9"/>
  <c r="B226" i="9"/>
  <c r="B223" i="9"/>
  <c r="A223" i="9"/>
  <c r="A215" i="9"/>
  <c r="B215" i="9"/>
  <c r="A216" i="9"/>
  <c r="B216" i="9"/>
  <c r="A217" i="9"/>
  <c r="B217" i="9"/>
  <c r="A218" i="9"/>
  <c r="B218" i="9"/>
  <c r="A219" i="9"/>
  <c r="B219" i="9"/>
  <c r="B214" i="9"/>
  <c r="A214" i="9"/>
  <c r="B211" i="9"/>
  <c r="A211" i="9"/>
  <c r="B209" i="9"/>
  <c r="A209" i="9"/>
  <c r="A203" i="9"/>
  <c r="B203" i="9"/>
  <c r="A201" i="9"/>
  <c r="B201" i="9"/>
  <c r="A202" i="9"/>
  <c r="B202" i="9"/>
  <c r="B200" i="9"/>
  <c r="A200" i="9"/>
  <c r="A196" i="9"/>
  <c r="B196" i="9"/>
  <c r="A197" i="9"/>
  <c r="B197" i="9"/>
  <c r="A190" i="9"/>
  <c r="B190" i="9"/>
  <c r="A191" i="9"/>
  <c r="B191" i="9"/>
  <c r="A192" i="9"/>
  <c r="B192" i="9"/>
  <c r="A193" i="9"/>
  <c r="B193" i="9"/>
  <c r="A194" i="9"/>
  <c r="B194" i="9"/>
  <c r="A195" i="9"/>
  <c r="B195" i="9"/>
  <c r="B189" i="9"/>
  <c r="A189" i="9"/>
  <c r="B186" i="9"/>
  <c r="A186" i="9"/>
  <c r="B182" i="9"/>
  <c r="A182" i="9"/>
  <c r="A179" i="9"/>
  <c r="B179" i="9"/>
  <c r="A180" i="9"/>
  <c r="B180" i="9"/>
  <c r="B178" i="9"/>
  <c r="A178" i="9"/>
  <c r="A172" i="9"/>
  <c r="B172" i="9"/>
  <c r="A173" i="9"/>
  <c r="B173" i="9"/>
  <c r="A174" i="9"/>
  <c r="B174" i="9"/>
  <c r="B171" i="9"/>
  <c r="A171" i="9"/>
  <c r="A164" i="9"/>
  <c r="B164" i="9"/>
  <c r="B163" i="9"/>
  <c r="A163" i="9"/>
  <c r="B61" i="9"/>
  <c r="A61" i="9"/>
  <c r="A59" i="9"/>
  <c r="B59" i="9"/>
  <c r="A60" i="9"/>
  <c r="B60" i="9"/>
  <c r="A65" i="9"/>
  <c r="B65" i="9"/>
  <c r="A66" i="9"/>
  <c r="B66" i="9"/>
  <c r="A67" i="9"/>
  <c r="B67" i="9"/>
  <c r="A68" i="9"/>
  <c r="B68" i="9"/>
  <c r="A69" i="9"/>
  <c r="B69" i="9"/>
  <c r="A70" i="9"/>
  <c r="B70" i="9"/>
  <c r="A71" i="9"/>
  <c r="B71" i="9"/>
  <c r="A72" i="9"/>
  <c r="B72" i="9"/>
  <c r="A73" i="9"/>
  <c r="B73" i="9"/>
  <c r="B64" i="9"/>
  <c r="A64" i="9"/>
  <c r="A160" i="9"/>
  <c r="B160" i="9"/>
  <c r="B159" i="9"/>
  <c r="A159" i="9"/>
  <c r="A156" i="9"/>
  <c r="B156" i="9"/>
  <c r="A154" i="9"/>
  <c r="B154" i="9"/>
  <c r="A155" i="9"/>
  <c r="B155" i="9"/>
  <c r="B153" i="9"/>
  <c r="A153" i="9"/>
  <c r="A149" i="9"/>
  <c r="B149" i="9"/>
  <c r="A150" i="9"/>
  <c r="B150" i="9"/>
  <c r="B148" i="9"/>
  <c r="A148" i="9"/>
  <c r="A144" i="9"/>
  <c r="B144" i="9"/>
  <c r="A145" i="9"/>
  <c r="B145" i="9"/>
  <c r="B143" i="9"/>
  <c r="A143" i="9"/>
  <c r="A138" i="9"/>
  <c r="B138" i="9"/>
  <c r="A139" i="9"/>
  <c r="B139" i="9"/>
  <c r="A140" i="9"/>
  <c r="B140" i="9"/>
  <c r="B137" i="9"/>
  <c r="A137" i="9"/>
  <c r="A132" i="9"/>
  <c r="B132" i="9"/>
  <c r="A133" i="9"/>
  <c r="B133" i="9"/>
  <c r="A134" i="9"/>
  <c r="B134" i="9"/>
  <c r="B131" i="9"/>
  <c r="A131" i="9"/>
  <c r="A123" i="9"/>
  <c r="B123" i="9"/>
  <c r="A124" i="9"/>
  <c r="B124" i="9"/>
  <c r="A125" i="9"/>
  <c r="B125" i="9"/>
  <c r="A126" i="9"/>
  <c r="B126" i="9"/>
  <c r="A127" i="9"/>
  <c r="B127" i="9"/>
  <c r="A128" i="9"/>
  <c r="B128" i="9"/>
  <c r="B122" i="9"/>
  <c r="A122" i="9"/>
  <c r="A113" i="9"/>
  <c r="B113" i="9"/>
  <c r="A114" i="9"/>
  <c r="B114" i="9"/>
  <c r="A115" i="9"/>
  <c r="B115" i="9"/>
  <c r="B112" i="9"/>
  <c r="A112" i="9"/>
  <c r="A109" i="9"/>
  <c r="B109" i="9"/>
  <c r="B108" i="9"/>
  <c r="A108" i="9"/>
  <c r="A104" i="9"/>
  <c r="B104" i="9"/>
  <c r="A105" i="9"/>
  <c r="B105" i="9"/>
  <c r="B103" i="9"/>
  <c r="A103" i="9"/>
  <c r="A97" i="9"/>
  <c r="B97" i="9"/>
  <c r="A98" i="9"/>
  <c r="B98" i="9"/>
  <c r="A99" i="9"/>
  <c r="B99" i="9"/>
  <c r="A100" i="9"/>
  <c r="B100" i="9"/>
  <c r="B96" i="9"/>
  <c r="A96" i="9"/>
  <c r="A91" i="9"/>
  <c r="B91" i="9"/>
  <c r="A92" i="9"/>
  <c r="B92" i="9"/>
  <c r="A93" i="9"/>
  <c r="B93" i="9"/>
  <c r="B90" i="9"/>
  <c r="A90" i="9"/>
  <c r="A84" i="9"/>
  <c r="B84" i="9"/>
  <c r="A85" i="9"/>
  <c r="B85" i="9"/>
  <c r="A86" i="9"/>
  <c r="B86" i="9"/>
  <c r="A87" i="9"/>
  <c r="B87" i="9"/>
  <c r="B83" i="9"/>
  <c r="A83" i="9"/>
  <c r="A81" i="9"/>
  <c r="B81" i="9"/>
  <c r="B80" i="9"/>
  <c r="A80" i="9"/>
  <c r="A42" i="9"/>
  <c r="B42" i="9"/>
  <c r="A43" i="9"/>
  <c r="B43" i="9"/>
  <c r="B44" i="9"/>
  <c r="B41" i="9"/>
  <c r="A41" i="9"/>
  <c r="A30" i="9"/>
  <c r="B30" i="9"/>
  <c r="A31" i="9"/>
  <c r="B31" i="9"/>
  <c r="A32" i="9"/>
  <c r="B32" i="9"/>
  <c r="A33" i="9"/>
  <c r="B33" i="9"/>
  <c r="A34" i="9"/>
  <c r="B34" i="9"/>
  <c r="A35" i="9"/>
  <c r="B35" i="9"/>
  <c r="A36" i="9"/>
  <c r="B36" i="9"/>
  <c r="A37" i="9"/>
  <c r="B37" i="9"/>
  <c r="A38" i="9"/>
  <c r="B38" i="9"/>
  <c r="B29" i="9"/>
  <c r="A29" i="9"/>
  <c r="A21" i="9"/>
  <c r="B21" i="9"/>
  <c r="A22" i="9"/>
  <c r="B22" i="9"/>
  <c r="A23" i="9"/>
  <c r="B23" i="9"/>
  <c r="A24" i="9"/>
  <c r="B24" i="9"/>
  <c r="A25" i="9"/>
  <c r="B25" i="9"/>
  <c r="A26" i="9"/>
  <c r="B26" i="9"/>
  <c r="B20" i="9"/>
  <c r="A20" i="9"/>
  <c r="B3" i="9"/>
  <c r="A12" i="9"/>
  <c r="B12" i="9"/>
  <c r="A13" i="9"/>
  <c r="B13" i="9"/>
  <c r="A14" i="9"/>
  <c r="B14" i="9"/>
  <c r="A15" i="9"/>
  <c r="B15" i="9"/>
  <c r="A16" i="9"/>
  <c r="B16" i="9"/>
  <c r="B11" i="9"/>
  <c r="A11" i="9"/>
  <c r="B8" i="9"/>
  <c r="A5" i="9"/>
  <c r="B5" i="9"/>
  <c r="A6" i="9"/>
  <c r="B6" i="9"/>
  <c r="A7" i="9"/>
  <c r="B7" i="9"/>
  <c r="B4" i="9"/>
  <c r="A4" i="9"/>
  <c r="G153" i="10"/>
  <c r="B95" i="10"/>
  <c r="C5" i="10"/>
  <c r="C194" i="10" s="1"/>
  <c r="C95" i="10"/>
  <c r="O6" i="10"/>
  <c r="K7" i="10"/>
  <c r="K18" i="10"/>
  <c r="K27" i="10"/>
  <c r="K36" i="10"/>
  <c r="K47" i="10"/>
  <c r="E61" i="8"/>
  <c r="G61" i="8" s="1"/>
  <c r="K109" i="10"/>
  <c r="K115" i="10"/>
  <c r="K122" i="10"/>
  <c r="K127" i="10"/>
  <c r="L127" i="10" s="1"/>
  <c r="K131" i="10"/>
  <c r="A105" i="10"/>
  <c r="D61" i="8"/>
  <c r="A106" i="10"/>
  <c r="D62" i="8" s="1"/>
  <c r="A104" i="10"/>
  <c r="D60" i="8"/>
  <c r="E10" i="10"/>
  <c r="L10" i="10" s="1"/>
  <c r="G10" i="10"/>
  <c r="E8" i="10"/>
  <c r="A67" i="8"/>
  <c r="A68" i="8"/>
  <c r="A69" i="8"/>
  <c r="A70" i="8"/>
  <c r="E63" i="8"/>
  <c r="G63" i="8" s="1"/>
  <c r="E64" i="8"/>
  <c r="G64" i="8"/>
  <c r="E65" i="8"/>
  <c r="G65" i="8" s="1"/>
  <c r="E67" i="8"/>
  <c r="G67" i="8"/>
  <c r="E68" i="8"/>
  <c r="G68" i="8" s="1"/>
  <c r="E69" i="8"/>
  <c r="G69" i="8"/>
  <c r="E70" i="8"/>
  <c r="G70" i="8" s="1"/>
  <c r="E71" i="8"/>
  <c r="G71" i="8"/>
  <c r="E72" i="8"/>
  <c r="G72" i="8" s="1"/>
  <c r="E73" i="8"/>
  <c r="G73" i="8"/>
  <c r="E74" i="8"/>
  <c r="G74" i="8" s="1"/>
  <c r="E75" i="8"/>
  <c r="G75" i="8"/>
  <c r="E76" i="8"/>
  <c r="G76" i="8" s="1"/>
  <c r="E77" i="8"/>
  <c r="G77" i="8"/>
  <c r="E78" i="8"/>
  <c r="G78" i="8" s="1"/>
  <c r="E79" i="8"/>
  <c r="G79" i="8"/>
  <c r="E49" i="8"/>
  <c r="G49" i="8" s="1"/>
  <c r="E53" i="8"/>
  <c r="G53" i="8" s="1"/>
  <c r="E54" i="8"/>
  <c r="G54" i="8"/>
  <c r="E55" i="8"/>
  <c r="G55" i="8" s="1"/>
  <c r="E48" i="8"/>
  <c r="G48" i="8"/>
  <c r="E43" i="8"/>
  <c r="G43" i="8" s="1"/>
  <c r="E44" i="8"/>
  <c r="G44" i="8"/>
  <c r="E45" i="8"/>
  <c r="G45" i="8" s="1"/>
  <c r="E46" i="8"/>
  <c r="G46" i="8"/>
  <c r="G47" i="8"/>
  <c r="E29" i="8"/>
  <c r="G29" i="8" s="1"/>
  <c r="E30" i="8"/>
  <c r="G30" i="8" s="1"/>
  <c r="E31" i="8"/>
  <c r="G31" i="8" s="1"/>
  <c r="E32" i="8"/>
  <c r="G32" i="8" s="1"/>
  <c r="E39" i="8"/>
  <c r="G39" i="8" s="1"/>
  <c r="E40" i="8"/>
  <c r="G40" i="8" s="1"/>
  <c r="E41" i="8"/>
  <c r="G41" i="8" s="1"/>
  <c r="E4" i="8"/>
  <c r="G4" i="8" s="1"/>
  <c r="E5" i="8"/>
  <c r="G5" i="8" s="1"/>
  <c r="E6" i="8"/>
  <c r="G6" i="8" s="1"/>
  <c r="E7" i="8"/>
  <c r="G7" i="8" s="1"/>
  <c r="E8" i="8"/>
  <c r="G8" i="8" s="1"/>
  <c r="E9" i="8"/>
  <c r="G9" i="8" s="1"/>
  <c r="E10" i="8"/>
  <c r="G10" i="8" s="1"/>
  <c r="E11" i="8"/>
  <c r="G11" i="8" s="1"/>
  <c r="E12" i="8"/>
  <c r="G12" i="8" s="1"/>
  <c r="E13" i="8"/>
  <c r="G13" i="8" s="1"/>
  <c r="E14" i="8"/>
  <c r="G14" i="8" s="1"/>
  <c r="E15" i="8"/>
  <c r="G15" i="8" s="1"/>
  <c r="E16" i="8"/>
  <c r="G16" i="8" s="1"/>
  <c r="E17" i="8"/>
  <c r="G17" i="8" s="1"/>
  <c r="E18" i="8"/>
  <c r="G18" i="8" s="1"/>
  <c r="E19" i="8"/>
  <c r="G19" i="8" s="1"/>
  <c r="E20" i="8"/>
  <c r="G20" i="8" s="1"/>
  <c r="E21" i="8"/>
  <c r="G21" i="8" s="1"/>
  <c r="E22" i="8"/>
  <c r="G22" i="8" s="1"/>
  <c r="E23" i="8"/>
  <c r="G23" i="8" s="1"/>
  <c r="E24" i="8"/>
  <c r="G24" i="8" s="1"/>
  <c r="E25" i="8"/>
  <c r="G25" i="8" s="1"/>
  <c r="E26" i="8"/>
  <c r="G26" i="8" s="1"/>
  <c r="E27" i="8"/>
  <c r="G27" i="8" s="1"/>
  <c r="E28" i="8"/>
  <c r="G28" i="8" s="1"/>
  <c r="E52" i="8"/>
  <c r="G52" i="8" s="1"/>
  <c r="F125" i="10"/>
  <c r="L95" i="10"/>
  <c r="L15" i="10"/>
  <c r="A70" i="10"/>
  <c r="D40" i="8" s="1"/>
  <c r="A40" i="8"/>
  <c r="B40" i="8"/>
  <c r="C40" i="8"/>
  <c r="G70" i="10"/>
  <c r="E70" i="10"/>
  <c r="G141" i="10"/>
  <c r="A147" i="10"/>
  <c r="E139" i="10"/>
  <c r="F207" i="10"/>
  <c r="A207" i="10"/>
  <c r="A79" i="8"/>
  <c r="A78" i="8"/>
  <c r="B78" i="8"/>
  <c r="C78" i="8"/>
  <c r="A134" i="10"/>
  <c r="D78" i="8" s="1"/>
  <c r="A77" i="8"/>
  <c r="A76" i="8"/>
  <c r="A75" i="8"/>
  <c r="A74" i="8"/>
  <c r="A72" i="8"/>
  <c r="A73" i="8"/>
  <c r="A71" i="8"/>
  <c r="A66" i="8"/>
  <c r="A65" i="8"/>
  <c r="A64" i="8"/>
  <c r="A62" i="8"/>
  <c r="A63" i="8"/>
  <c r="A60" i="8"/>
  <c r="B60" i="8"/>
  <c r="C60" i="8"/>
  <c r="A61" i="8"/>
  <c r="B61" i="8"/>
  <c r="C61" i="8"/>
  <c r="A103" i="10"/>
  <c r="D59" i="8" s="1"/>
  <c r="A59" i="8"/>
  <c r="B59" i="8"/>
  <c r="C59" i="8"/>
  <c r="A100" i="10"/>
  <c r="D58" i="8" s="1"/>
  <c r="A58" i="8"/>
  <c r="B58" i="8"/>
  <c r="C58" i="8"/>
  <c r="A98" i="10"/>
  <c r="D57" i="8" s="1"/>
  <c r="B57" i="8"/>
  <c r="C57" i="8"/>
  <c r="A57" i="8"/>
  <c r="A90" i="10"/>
  <c r="D56" i="8" s="1"/>
  <c r="A56" i="8"/>
  <c r="B56" i="8"/>
  <c r="C56" i="8"/>
  <c r="D47" i="8"/>
  <c r="A47" i="8"/>
  <c r="A48" i="8"/>
  <c r="A49" i="8"/>
  <c r="A50" i="8"/>
  <c r="A51" i="8"/>
  <c r="A52" i="8"/>
  <c r="A53" i="8"/>
  <c r="A54" i="8"/>
  <c r="A55" i="8"/>
  <c r="A46" i="8"/>
  <c r="B47" i="8"/>
  <c r="C47" i="8"/>
  <c r="A81" i="10"/>
  <c r="D48" i="8" s="1"/>
  <c r="A82" i="10"/>
  <c r="D49" i="8" s="1"/>
  <c r="A83" i="10"/>
  <c r="D50" i="8" s="1"/>
  <c r="A84" i="10"/>
  <c r="D51" i="8" s="1"/>
  <c r="A85" i="10"/>
  <c r="D52" i="8" s="1"/>
  <c r="A86" i="10"/>
  <c r="D53" i="8" s="1"/>
  <c r="A87" i="10"/>
  <c r="D54" i="8" s="1"/>
  <c r="A88" i="10"/>
  <c r="D55" i="8" s="1"/>
  <c r="A43" i="8"/>
  <c r="B43" i="8"/>
  <c r="C43" i="8"/>
  <c r="A75" i="10"/>
  <c r="D43" i="8" s="1"/>
  <c r="A44" i="8"/>
  <c r="B44" i="8"/>
  <c r="C44" i="8"/>
  <c r="A76" i="10"/>
  <c r="D44" i="8"/>
  <c r="A45" i="8"/>
  <c r="B45" i="8"/>
  <c r="C45" i="8"/>
  <c r="A77" i="10"/>
  <c r="D45" i="8" s="1"/>
  <c r="A73" i="10"/>
  <c r="D41" i="8" s="1"/>
  <c r="B41" i="8"/>
  <c r="C41" i="8"/>
  <c r="A41" i="8"/>
  <c r="A68" i="10"/>
  <c r="D39" i="8" s="1"/>
  <c r="A39" i="8"/>
  <c r="B39" i="8"/>
  <c r="C39" i="8"/>
  <c r="A32" i="8"/>
  <c r="B32" i="8"/>
  <c r="C32" i="8"/>
  <c r="A51" i="10"/>
  <c r="D32" i="8" s="1"/>
  <c r="A30" i="8"/>
  <c r="B30" i="8"/>
  <c r="C30" i="8"/>
  <c r="A49" i="10"/>
  <c r="D30" i="8" s="1"/>
  <c r="A31" i="8"/>
  <c r="B31" i="8"/>
  <c r="C31" i="8"/>
  <c r="A50" i="10"/>
  <c r="D31" i="8" s="1"/>
  <c r="A29" i="8"/>
  <c r="A21" i="8"/>
  <c r="B21" i="8"/>
  <c r="C21" i="8"/>
  <c r="A38" i="10"/>
  <c r="D21" i="8" s="1"/>
  <c r="A22" i="8"/>
  <c r="B22" i="8"/>
  <c r="C22" i="8"/>
  <c r="A39" i="10"/>
  <c r="D22" i="8" s="1"/>
  <c r="A23" i="8"/>
  <c r="B23" i="8"/>
  <c r="C23" i="8"/>
  <c r="A40" i="10"/>
  <c r="D23" i="8"/>
  <c r="A24" i="8"/>
  <c r="B24" i="8"/>
  <c r="C24" i="8"/>
  <c r="A41" i="10"/>
  <c r="D24" i="8" s="1"/>
  <c r="A25" i="8"/>
  <c r="B25" i="8"/>
  <c r="C25" i="8"/>
  <c r="A42" i="10"/>
  <c r="D25" i="8" s="1"/>
  <c r="A26" i="8"/>
  <c r="B26" i="8"/>
  <c r="C26" i="8"/>
  <c r="A43" i="10"/>
  <c r="D26" i="8" s="1"/>
  <c r="A27" i="8"/>
  <c r="B27" i="8"/>
  <c r="C27" i="8"/>
  <c r="A44" i="10"/>
  <c r="D27" i="8"/>
  <c r="A28" i="8"/>
  <c r="B28" i="8"/>
  <c r="C28" i="8"/>
  <c r="A45" i="10"/>
  <c r="D28" i="8" s="1"/>
  <c r="A20" i="8"/>
  <c r="A14" i="8"/>
  <c r="B14" i="8"/>
  <c r="C14" i="8"/>
  <c r="A29" i="10"/>
  <c r="D14" i="8" s="1"/>
  <c r="A15" i="8"/>
  <c r="B15" i="8"/>
  <c r="C15" i="8"/>
  <c r="A30" i="10"/>
  <c r="D15" i="8" s="1"/>
  <c r="A16" i="8"/>
  <c r="B16" i="8"/>
  <c r="C16" i="8"/>
  <c r="A31" i="10"/>
  <c r="D16" i="8" s="1"/>
  <c r="A17" i="8"/>
  <c r="B17" i="8"/>
  <c r="C17" i="8"/>
  <c r="A32" i="10"/>
  <c r="D17" i="8" s="1"/>
  <c r="A18" i="8"/>
  <c r="B18" i="8"/>
  <c r="C18" i="8"/>
  <c r="A33" i="10"/>
  <c r="D18" i="8" s="1"/>
  <c r="A19" i="8"/>
  <c r="B19" i="8"/>
  <c r="C19" i="8"/>
  <c r="A34" i="10"/>
  <c r="D19" i="8"/>
  <c r="A13" i="8"/>
  <c r="A12" i="8"/>
  <c r="B12" i="8"/>
  <c r="C12" i="8"/>
  <c r="A25" i="10"/>
  <c r="D12" i="8" s="1"/>
  <c r="A7" i="8"/>
  <c r="B7" i="8"/>
  <c r="C7" i="8"/>
  <c r="A20" i="10"/>
  <c r="D7" i="8" s="1"/>
  <c r="A8" i="8"/>
  <c r="B8" i="8"/>
  <c r="C8" i="8"/>
  <c r="A21" i="10"/>
  <c r="D8" i="8" s="1"/>
  <c r="A9" i="8"/>
  <c r="B9" i="8"/>
  <c r="C9" i="8"/>
  <c r="A22" i="10"/>
  <c r="D9" i="8" s="1"/>
  <c r="A10" i="8"/>
  <c r="B10" i="8"/>
  <c r="C10" i="8"/>
  <c r="A23" i="10"/>
  <c r="D10" i="8" s="1"/>
  <c r="A11" i="8"/>
  <c r="B11" i="8"/>
  <c r="C11" i="8"/>
  <c r="A24" i="10"/>
  <c r="D11" i="8" s="1"/>
  <c r="A6" i="8"/>
  <c r="A3" i="8"/>
  <c r="A4" i="8"/>
  <c r="A5" i="8"/>
  <c r="A2" i="8"/>
  <c r="G197" i="10"/>
  <c r="G206" i="10"/>
  <c r="G205" i="10"/>
  <c r="G189" i="10"/>
  <c r="G188" i="10"/>
  <c r="G180" i="10"/>
  <c r="G179" i="10"/>
  <c r="G229" i="10"/>
  <c r="G228" i="10"/>
  <c r="G227" i="10"/>
  <c r="G219" i="10"/>
  <c r="G218" i="10"/>
  <c r="G217" i="10"/>
  <c r="G167" i="10"/>
  <c r="G166" i="10"/>
  <c r="G182" i="10"/>
  <c r="G173" i="10"/>
  <c r="G81" i="10"/>
  <c r="G80" i="10"/>
  <c r="E81" i="10"/>
  <c r="E80" i="10"/>
  <c r="G72" i="10"/>
  <c r="A79" i="10"/>
  <c r="D77" i="10"/>
  <c r="F77" i="10"/>
  <c r="D75" i="10"/>
  <c r="F75" i="10"/>
  <c r="D76" i="10"/>
  <c r="F76" i="10"/>
  <c r="A72" i="10"/>
  <c r="J95" i="10"/>
  <c r="F198" i="10"/>
  <c r="A199" i="10"/>
  <c r="A198" i="10"/>
  <c r="A197" i="10"/>
  <c r="A194" i="10"/>
  <c r="K5" i="10"/>
  <c r="K15" i="10" s="1"/>
  <c r="G5" i="10"/>
  <c r="G194" i="10"/>
  <c r="F194" i="10"/>
  <c r="E5" i="10"/>
  <c r="B194" i="10"/>
  <c r="F83" i="10"/>
  <c r="F84" i="10"/>
  <c r="F85" i="10"/>
  <c r="F86" i="10"/>
  <c r="F87" i="10"/>
  <c r="F88" i="10"/>
  <c r="F82" i="10"/>
  <c r="D83" i="10"/>
  <c r="D84" i="10"/>
  <c r="D85" i="10"/>
  <c r="D86" i="10"/>
  <c r="D87" i="10"/>
  <c r="D88" i="10"/>
  <c r="D82" i="10"/>
  <c r="A80" i="10"/>
  <c r="D46" i="8" s="1"/>
  <c r="F208" i="10"/>
  <c r="A209" i="10"/>
  <c r="A206" i="10"/>
  <c r="A208" i="10"/>
  <c r="A205" i="10"/>
  <c r="A202" i="10"/>
  <c r="F190" i="10"/>
  <c r="A191" i="10"/>
  <c r="A190" i="10"/>
  <c r="A189" i="10"/>
  <c r="A188" i="10"/>
  <c r="A185" i="10"/>
  <c r="F181" i="10"/>
  <c r="A182" i="10"/>
  <c r="A180" i="10"/>
  <c r="A181" i="10"/>
  <c r="A179" i="10"/>
  <c r="A176" i="10"/>
  <c r="F230" i="10"/>
  <c r="A231" i="10"/>
  <c r="A228" i="10"/>
  <c r="A229" i="10"/>
  <c r="A230" i="10"/>
  <c r="A227" i="10"/>
  <c r="A163" i="10"/>
  <c r="A224" i="10"/>
  <c r="A221" i="10"/>
  <c r="A214" i="10"/>
  <c r="A173" i="10"/>
  <c r="F220" i="10"/>
  <c r="A218" i="10"/>
  <c r="A219" i="10"/>
  <c r="A220" i="10"/>
  <c r="A217" i="10"/>
  <c r="F168" i="10"/>
  <c r="F169" i="10"/>
  <c r="F170" i="10"/>
  <c r="F171" i="10"/>
  <c r="F172" i="10"/>
  <c r="F21" i="10"/>
  <c r="D21" i="10"/>
  <c r="A167" i="10"/>
  <c r="A168" i="10"/>
  <c r="A169" i="10"/>
  <c r="A170" i="10"/>
  <c r="A171" i="10"/>
  <c r="A172" i="10"/>
  <c r="A141" i="10"/>
  <c r="A139" i="10"/>
  <c r="A137" i="10"/>
  <c r="A166" i="10"/>
  <c r="F133" i="10"/>
  <c r="F134" i="10"/>
  <c r="F135" i="10"/>
  <c r="F132" i="10"/>
  <c r="D133" i="10"/>
  <c r="D134" i="10"/>
  <c r="D135" i="10"/>
  <c r="D132" i="10"/>
  <c r="A133" i="10"/>
  <c r="D77" i="8"/>
  <c r="A135" i="10"/>
  <c r="D79" i="8" s="1"/>
  <c r="A132" i="10"/>
  <c r="D76" i="8"/>
  <c r="A131" i="10"/>
  <c r="F129" i="10"/>
  <c r="F128" i="10"/>
  <c r="D129" i="10"/>
  <c r="D128" i="10"/>
  <c r="A129" i="10"/>
  <c r="D75" i="8" s="1"/>
  <c r="A128" i="10"/>
  <c r="D74" i="8" s="1"/>
  <c r="A127" i="10"/>
  <c r="F124" i="10"/>
  <c r="F123" i="10"/>
  <c r="D124" i="10"/>
  <c r="D125" i="10"/>
  <c r="D123" i="10"/>
  <c r="A124" i="10"/>
  <c r="D72" i="8" s="1"/>
  <c r="A125" i="10"/>
  <c r="D73" i="8" s="1"/>
  <c r="A123" i="10"/>
  <c r="D71" i="8" s="1"/>
  <c r="A122" i="10"/>
  <c r="F117" i="10"/>
  <c r="F118" i="10"/>
  <c r="F119" i="10"/>
  <c r="F120" i="10"/>
  <c r="F116" i="10"/>
  <c r="D117" i="10"/>
  <c r="D118" i="10"/>
  <c r="D119" i="10"/>
  <c r="D120" i="10"/>
  <c r="D116" i="10"/>
  <c r="G115" i="10"/>
  <c r="A117" i="10"/>
  <c r="D67" i="8" s="1"/>
  <c r="A118" i="10"/>
  <c r="D68" i="8" s="1"/>
  <c r="A119" i="10"/>
  <c r="D69" i="8" s="1"/>
  <c r="A120" i="10"/>
  <c r="D70" i="8" s="1"/>
  <c r="A116" i="10"/>
  <c r="D66" i="8" s="1"/>
  <c r="A115" i="10"/>
  <c r="D111" i="10"/>
  <c r="F111" i="10"/>
  <c r="D112" i="10"/>
  <c r="F112" i="10"/>
  <c r="D113" i="10"/>
  <c r="F113" i="10"/>
  <c r="A111" i="10"/>
  <c r="A112" i="10"/>
  <c r="A113" i="10"/>
  <c r="D65" i="8"/>
  <c r="F110" i="10"/>
  <c r="D110" i="10"/>
  <c r="E109" i="10"/>
  <c r="A110" i="10"/>
  <c r="D64" i="8" s="1"/>
  <c r="A109" i="10"/>
  <c r="E102" i="10"/>
  <c r="D104" i="10"/>
  <c r="F104" i="10"/>
  <c r="D105" i="10"/>
  <c r="F105" i="10"/>
  <c r="D106" i="10"/>
  <c r="F106" i="10"/>
  <c r="D107" i="10"/>
  <c r="F107" i="10"/>
  <c r="F103" i="10"/>
  <c r="D103" i="10"/>
  <c r="A107" i="10"/>
  <c r="D63" i="8" s="1"/>
  <c r="A102" i="10"/>
  <c r="G100" i="10"/>
  <c r="H100" i="10" s="1"/>
  <c r="E100" i="10"/>
  <c r="L100" i="10" s="1"/>
  <c r="E98" i="10"/>
  <c r="G98" i="10"/>
  <c r="E27" i="10"/>
  <c r="L53" i="10"/>
  <c r="E68" i="10"/>
  <c r="L68" i="10" s="1"/>
  <c r="E90" i="10"/>
  <c r="G90" i="10"/>
  <c r="G68" i="10"/>
  <c r="F50" i="10"/>
  <c r="F51" i="10"/>
  <c r="D50" i="10"/>
  <c r="D51" i="10"/>
  <c r="B3" i="8"/>
  <c r="C3" i="8"/>
  <c r="B4" i="8"/>
  <c r="C4" i="8"/>
  <c r="B5" i="8"/>
  <c r="C5" i="8"/>
  <c r="B6" i="8"/>
  <c r="C6" i="8"/>
  <c r="B13" i="8"/>
  <c r="C13" i="8"/>
  <c r="B20" i="8"/>
  <c r="C20" i="8"/>
  <c r="B29" i="8"/>
  <c r="C29" i="8"/>
  <c r="B62" i="8"/>
  <c r="C62" i="8"/>
  <c r="B63" i="8"/>
  <c r="C63" i="8"/>
  <c r="B64" i="8"/>
  <c r="C64" i="8"/>
  <c r="B65" i="8"/>
  <c r="C65" i="8"/>
  <c r="B66" i="8"/>
  <c r="C66" i="8"/>
  <c r="B67" i="8"/>
  <c r="C67" i="8"/>
  <c r="B68" i="8"/>
  <c r="C68" i="8"/>
  <c r="B69" i="8"/>
  <c r="C69" i="8"/>
  <c r="B70" i="8"/>
  <c r="C70" i="8"/>
  <c r="B71" i="8"/>
  <c r="C71" i="8"/>
  <c r="B72" i="8"/>
  <c r="C72" i="8"/>
  <c r="B73" i="8"/>
  <c r="C73" i="8"/>
  <c r="B74" i="8"/>
  <c r="C74" i="8"/>
  <c r="B75" i="8"/>
  <c r="C75" i="8"/>
  <c r="B76" i="8"/>
  <c r="C76" i="8"/>
  <c r="B77" i="8"/>
  <c r="C77" i="8"/>
  <c r="B79" i="8"/>
  <c r="C79" i="8"/>
  <c r="B46" i="8"/>
  <c r="C46" i="8"/>
  <c r="B48" i="8"/>
  <c r="C48" i="8"/>
  <c r="B49" i="8"/>
  <c r="C49" i="8"/>
  <c r="B50" i="8"/>
  <c r="C50" i="8"/>
  <c r="B51" i="8"/>
  <c r="C51" i="8"/>
  <c r="B52" i="8"/>
  <c r="C52" i="8"/>
  <c r="B53" i="8"/>
  <c r="C53" i="8"/>
  <c r="B54" i="8"/>
  <c r="C54" i="8"/>
  <c r="B55" i="8"/>
  <c r="C55" i="8"/>
  <c r="C2" i="8"/>
  <c r="B2" i="8"/>
  <c r="N6" i="10"/>
  <c r="N4" i="10"/>
  <c r="C11" i="10"/>
  <c r="A48" i="10"/>
  <c r="D29" i="8" s="1"/>
  <c r="A37" i="10"/>
  <c r="D20" i="8"/>
  <c r="A28" i="10"/>
  <c r="D13" i="8" s="1"/>
  <c r="A19" i="10"/>
  <c r="D6" i="8"/>
  <c r="A8" i="10"/>
  <c r="D3" i="8" s="1"/>
  <c r="A9" i="10"/>
  <c r="D4" i="8"/>
  <c r="A10" i="10"/>
  <c r="D5" i="8" s="1"/>
  <c r="A7" i="10"/>
  <c r="D2" i="8"/>
  <c r="F49" i="10"/>
  <c r="F48" i="10"/>
  <c r="G27" i="10"/>
  <c r="H27" i="10" s="1"/>
  <c r="F38" i="10"/>
  <c r="F39" i="10"/>
  <c r="F40" i="10"/>
  <c r="F41" i="10"/>
  <c r="F42" i="10"/>
  <c r="F43" i="10"/>
  <c r="F44" i="10"/>
  <c r="F45" i="10"/>
  <c r="F37" i="10"/>
  <c r="F29" i="10"/>
  <c r="F30" i="10"/>
  <c r="F31" i="10"/>
  <c r="F32" i="10"/>
  <c r="F33" i="10"/>
  <c r="F34" i="10"/>
  <c r="F28" i="10"/>
  <c r="F20" i="10"/>
  <c r="F23" i="10"/>
  <c r="F22" i="10"/>
  <c r="F24" i="10"/>
  <c r="F25" i="10"/>
  <c r="F19" i="10"/>
  <c r="G8" i="10"/>
  <c r="G9" i="10"/>
  <c r="G7" i="10"/>
  <c r="H7" i="10" s="1"/>
  <c r="E7" i="10"/>
  <c r="L7" i="10" s="1"/>
  <c r="D49" i="10"/>
  <c r="D48" i="10"/>
  <c r="D38" i="10"/>
  <c r="D39" i="10"/>
  <c r="D40" i="10"/>
  <c r="D41" i="10"/>
  <c r="D42" i="10"/>
  <c r="D43" i="10"/>
  <c r="D44" i="10"/>
  <c r="D45" i="10"/>
  <c r="D37" i="10"/>
  <c r="D34" i="10"/>
  <c r="D29" i="10"/>
  <c r="D30" i="10"/>
  <c r="D31" i="10"/>
  <c r="D32" i="10"/>
  <c r="D33" i="10"/>
  <c r="D28" i="10"/>
  <c r="D20" i="10"/>
  <c r="D23" i="10"/>
  <c r="D22" i="10"/>
  <c r="D24" i="10"/>
  <c r="D25" i="10"/>
  <c r="D19" i="10"/>
  <c r="E9" i="10"/>
  <c r="L9" i="10" s="1"/>
  <c r="A47" i="10"/>
  <c r="A36" i="10"/>
  <c r="A27" i="10"/>
  <c r="A18" i="10"/>
  <c r="A11" i="10"/>
  <c r="G202" i="10"/>
  <c r="F202" i="10"/>
  <c r="B202" i="10"/>
  <c r="G185" i="10"/>
  <c r="F185" i="10"/>
  <c r="B185" i="10"/>
  <c r="G176" i="10"/>
  <c r="F176" i="10"/>
  <c r="B176" i="10"/>
  <c r="G224" i="10"/>
  <c r="F224" i="10"/>
  <c r="B224" i="10"/>
  <c r="G214" i="10"/>
  <c r="F214" i="10"/>
  <c r="B214" i="10"/>
  <c r="G163" i="10"/>
  <c r="F163" i="10"/>
  <c r="B163" i="10"/>
  <c r="K95" i="10"/>
  <c r="H95" i="10"/>
  <c r="G95" i="10"/>
  <c r="F95" i="10"/>
  <c r="D95" i="10"/>
  <c r="J15" i="10"/>
  <c r="H15" i="10"/>
  <c r="G15" i="10"/>
  <c r="F15" i="10"/>
  <c r="E15" i="10"/>
  <c r="D15" i="10"/>
  <c r="C15" i="10"/>
  <c r="B15" i="10"/>
  <c r="E95" i="10"/>
  <c r="G36" i="10"/>
  <c r="G139" i="10"/>
  <c r="H139" i="10" s="1"/>
  <c r="G231" i="10"/>
  <c r="G209" i="10"/>
  <c r="E18" i="10"/>
  <c r="L18" i="10" s="1"/>
  <c r="K8" i="10"/>
  <c r="E11" i="10"/>
  <c r="O8" i="10"/>
  <c r="E59" i="8"/>
  <c r="G59" i="8" s="1"/>
  <c r="E26" i="14"/>
  <c r="E17" i="14"/>
  <c r="F26" i="14"/>
  <c r="H26" i="14" s="1"/>
  <c r="E66" i="8"/>
  <c r="G66" i="8" s="1"/>
  <c r="G18" i="10"/>
  <c r="G131" i="10"/>
  <c r="G47" i="10"/>
  <c r="H47" i="10" s="1"/>
  <c r="G122" i="10"/>
  <c r="G11" i="10"/>
  <c r="G147" i="10"/>
  <c r="G151" i="10"/>
  <c r="E2" i="8"/>
  <c r="G2" i="8" s="1"/>
  <c r="H68" i="10"/>
  <c r="L72" i="10"/>
  <c r="B10" i="12"/>
  <c r="H70" i="10"/>
  <c r="H98" i="10"/>
  <c r="L70" i="10"/>
  <c r="H10" i="10"/>
  <c r="H9" i="10"/>
  <c r="H18" i="10"/>
  <c r="E131" i="10" l="1"/>
  <c r="E134" i="11"/>
  <c r="E156" i="11"/>
  <c r="G221" i="10"/>
  <c r="E192" i="11"/>
  <c r="G199" i="10"/>
  <c r="E88" i="11"/>
  <c r="G92" i="10"/>
  <c r="H92" i="10" s="1"/>
  <c r="E18" i="14"/>
  <c r="D19" i="14"/>
  <c r="E19" i="14" s="1"/>
  <c r="E108" i="11"/>
  <c r="G109" i="10"/>
  <c r="C5" i="12"/>
  <c r="D5" i="12" s="1"/>
  <c r="C7" i="12"/>
  <c r="D7" i="12" s="1"/>
  <c r="C4" i="12"/>
  <c r="C6" i="12"/>
  <c r="D6" i="12" s="1"/>
  <c r="E27" i="14"/>
  <c r="G26" i="14"/>
  <c r="J83" i="10"/>
  <c r="L8" i="10"/>
  <c r="E3" i="8"/>
  <c r="G3" i="8" s="1"/>
  <c r="K11" i="10"/>
  <c r="H115" i="10"/>
  <c r="E22" i="14"/>
  <c r="F11" i="14"/>
  <c r="G15" i="14"/>
  <c r="F15" i="14"/>
  <c r="H15" i="14" s="1"/>
  <c r="B11" i="15"/>
  <c r="C11" i="15" s="1"/>
  <c r="D11" i="15" s="1"/>
  <c r="C7" i="15"/>
  <c r="D7" i="15" s="1"/>
  <c r="E84" i="11"/>
  <c r="G79" i="10"/>
  <c r="H79" i="10" s="1"/>
  <c r="E122" i="10"/>
  <c r="H122" i="10" s="1"/>
  <c r="E122" i="11"/>
  <c r="E233" i="11"/>
  <c r="H141" i="10"/>
  <c r="H36" i="10"/>
  <c r="C163" i="10"/>
  <c r="C214" i="10"/>
  <c r="C224" i="10"/>
  <c r="C176" i="10"/>
  <c r="C185" i="10"/>
  <c r="C202" i="10"/>
  <c r="H8" i="10"/>
  <c r="L102" i="10"/>
  <c r="E36" i="10"/>
  <c r="L36" i="10" s="1"/>
  <c r="E141" i="10"/>
  <c r="L27" i="10"/>
  <c r="H53" i="10"/>
  <c r="L98" i="10"/>
  <c r="H72" i="10"/>
  <c r="H11" i="10"/>
  <c r="E11" i="15" l="1"/>
  <c r="F11" i="15"/>
  <c r="F27" i="14"/>
  <c r="H27" i="14" s="1"/>
  <c r="G27" i="14"/>
  <c r="G5" i="12"/>
  <c r="H5" i="12"/>
  <c r="C6" i="13" s="1"/>
  <c r="F6" i="13"/>
  <c r="L131" i="10"/>
  <c r="H131" i="10"/>
  <c r="L122" i="10"/>
  <c r="F5" i="13"/>
  <c r="H6" i="12"/>
  <c r="C5" i="13" s="1"/>
  <c r="G5" i="13" s="1"/>
  <c r="G6" i="12"/>
  <c r="O9" i="10"/>
  <c r="E50" i="8"/>
  <c r="G50" i="8" s="1"/>
  <c r="K79" i="10"/>
  <c r="D4" i="12"/>
  <c r="C11" i="12"/>
  <c r="E7" i="15"/>
  <c r="F7" i="15"/>
  <c r="H11" i="14"/>
  <c r="G11" i="14"/>
  <c r="L11" i="10"/>
  <c r="F4" i="13"/>
  <c r="G7" i="12"/>
  <c r="H7" i="12"/>
  <c r="C4" i="13" s="1"/>
  <c r="F19" i="14"/>
  <c r="H19" i="14" s="1"/>
  <c r="G19" i="14"/>
  <c r="H4" i="12" l="1"/>
  <c r="G4" i="12"/>
  <c r="O16" i="10"/>
  <c r="L79" i="10"/>
  <c r="K92" i="10"/>
  <c r="C7" i="13"/>
  <c r="G4" i="13"/>
  <c r="F7" i="13"/>
  <c r="G6" i="13"/>
  <c r="L92" i="10" l="1"/>
  <c r="K139" i="10"/>
  <c r="H10" i="12"/>
  <c r="K4" i="12"/>
  <c r="L4" i="12" s="1"/>
  <c r="G7" i="13"/>
  <c r="G11" i="12"/>
  <c r="G10" i="12"/>
  <c r="G13" i="12"/>
  <c r="G12" i="12"/>
  <c r="L139" i="10" l="1"/>
  <c r="K141" i="10"/>
  <c r="L141" i="10" l="1"/>
  <c r="O15" i="10"/>
  <c r="O19" i="10" s="1"/>
  <c r="O20" i="10" s="1"/>
</calcChain>
</file>

<file path=xl/sharedStrings.xml><?xml version="1.0" encoding="utf-8"?>
<sst xmlns="http://schemas.openxmlformats.org/spreadsheetml/2006/main" count="618" uniqueCount="397">
  <si>
    <t xml:space="preserve">Budget </t>
  </si>
  <si>
    <t xml:space="preserve">Regnskab </t>
  </si>
  <si>
    <t xml:space="preserve">Difference </t>
  </si>
  <si>
    <t>Konto</t>
  </si>
  <si>
    <t>%</t>
  </si>
  <si>
    <t>Fadøl</t>
  </si>
  <si>
    <t>Andre indtægter</t>
  </si>
  <si>
    <t>Forsikringer</t>
  </si>
  <si>
    <t>Renter og gebyrer</t>
  </si>
  <si>
    <t>Revision</t>
  </si>
  <si>
    <t>Bestyrelsen</t>
  </si>
  <si>
    <t>Diverse</t>
  </si>
  <si>
    <t>TV</t>
  </si>
  <si>
    <t xml:space="preserve"> hus/mdr</t>
  </si>
  <si>
    <t>Note</t>
  </si>
  <si>
    <t>Renovation</t>
  </si>
  <si>
    <t>Kontingent</t>
  </si>
  <si>
    <t>Snerydning</t>
  </si>
  <si>
    <t>Kontonr</t>
  </si>
  <si>
    <t>Fra dato</t>
  </si>
  <si>
    <t>Til dato</t>
  </si>
  <si>
    <t>Tekst</t>
  </si>
  <si>
    <t>Total beløb</t>
  </si>
  <si>
    <t>KontoType</t>
  </si>
  <si>
    <t>DebetKredit</t>
  </si>
  <si>
    <t>Korrektion beløb</t>
  </si>
  <si>
    <t>GEF ejerne</t>
  </si>
  <si>
    <t>Kredit</t>
  </si>
  <si>
    <t>GEF lejerne</t>
  </si>
  <si>
    <t>Rep maskine og anlæg</t>
  </si>
  <si>
    <t>Rep og service Gasfyr</t>
  </si>
  <si>
    <t>Udv. vedl. FÆ-hus</t>
  </si>
  <si>
    <t>Indv. vedl. FÆ-hus</t>
  </si>
  <si>
    <t>Vedl. fællesarealer</t>
  </si>
  <si>
    <t>Inventar</t>
  </si>
  <si>
    <t>Køkkenudstyr</t>
  </si>
  <si>
    <t>EL-artik, pærer mv</t>
  </si>
  <si>
    <t>Rengøringsmidler/-artikler</t>
  </si>
  <si>
    <t>Krydderier</t>
  </si>
  <si>
    <t>Gaver</t>
  </si>
  <si>
    <t>Fortæring arbejdsweekends</t>
  </si>
  <si>
    <t>Fortæring generalforsamling</t>
  </si>
  <si>
    <t>Adventsarrangementer</t>
  </si>
  <si>
    <t>Fastelavn</t>
  </si>
  <si>
    <t>Cafemøder</t>
  </si>
  <si>
    <t>Bakkeweekend</t>
  </si>
  <si>
    <t>Skt. Hans</t>
  </si>
  <si>
    <t>Telefon / bredbånd</t>
  </si>
  <si>
    <t>Hjemmeside/e-mail</t>
  </si>
  <si>
    <t>Nyanskaffelse</t>
  </si>
  <si>
    <t>Diverse variable udgifter</t>
  </si>
  <si>
    <t>Ejendomsskat</t>
  </si>
  <si>
    <t>Vaskemaskiner, 2011</t>
  </si>
  <si>
    <t>Andre renter og gebyrer</t>
  </si>
  <si>
    <t>EL</t>
  </si>
  <si>
    <t>Varme / gas</t>
  </si>
  <si>
    <t>Vand</t>
  </si>
  <si>
    <t>Drift af bestyrelsen</t>
  </si>
  <si>
    <t>Kontorartikler og Porto</t>
  </si>
  <si>
    <t>Økonomisystem</t>
  </si>
  <si>
    <t>GEF-regnskab</t>
  </si>
  <si>
    <t>IS-regnskab</t>
  </si>
  <si>
    <t>Tab på Bofæller</t>
  </si>
  <si>
    <t>Afrundingsfejl på Sol-projekt</t>
  </si>
  <si>
    <t>Diverse omkostninger</t>
  </si>
  <si>
    <t>Vask opkrævet</t>
  </si>
  <si>
    <t>Vask Fælleshuset</t>
  </si>
  <si>
    <t>Vaskemidler</t>
  </si>
  <si>
    <t>Gas</t>
  </si>
  <si>
    <t>Salttabletter</t>
  </si>
  <si>
    <t>Vand opkrævet</t>
  </si>
  <si>
    <t>Vand Fælleshuset</t>
  </si>
  <si>
    <t>Vaskeriet</t>
  </si>
  <si>
    <t>Vand Fredensborg Forsyning</t>
  </si>
  <si>
    <t>Varme opkrævet</t>
  </si>
  <si>
    <t>Varme Fælleshuset</t>
  </si>
  <si>
    <t>Gas vaskeriet</t>
  </si>
  <si>
    <t>HNG</t>
  </si>
  <si>
    <t>Renovation opkrævet</t>
  </si>
  <si>
    <t>Renovation Fælleshuset</t>
  </si>
  <si>
    <t>Renovation Fredensborg Forsyning</t>
  </si>
  <si>
    <t>TV opkrævet</t>
  </si>
  <si>
    <t>TV Fælleshuset</t>
  </si>
  <si>
    <t>YouSee og andre</t>
  </si>
  <si>
    <t>Øl opkrævet</t>
  </si>
  <si>
    <t>Øl Fælleshuset</t>
  </si>
  <si>
    <t>Tuborg og andre</t>
  </si>
  <si>
    <t>Mælk opkrævet</t>
  </si>
  <si>
    <t>Øllingegård</t>
  </si>
  <si>
    <t>Huslejeopkrævet</t>
  </si>
  <si>
    <t xml:space="preserve">Kredit </t>
  </si>
  <si>
    <t>DONG - EL</t>
  </si>
  <si>
    <t>GEF</t>
  </si>
  <si>
    <t>Udv. Vedligehold Gården</t>
  </si>
  <si>
    <t>Navn</t>
  </si>
  <si>
    <t>SumFra/suminterval</t>
  </si>
  <si>
    <t>MomsKode</t>
  </si>
  <si>
    <t>ModKonto</t>
  </si>
  <si>
    <t>OverfoerPrimoTil</t>
  </si>
  <si>
    <t>Afdeling</t>
  </si>
  <si>
    <t>NoegletalsKode</t>
  </si>
  <si>
    <t>Kode1</t>
  </si>
  <si>
    <t>Kode2</t>
  </si>
  <si>
    <t>Tvungen afdeling</t>
  </si>
  <si>
    <t>RESULTATOPGØRELSE</t>
  </si>
  <si>
    <t>Fællesindtægter i alt</t>
  </si>
  <si>
    <t>Variable udgifter</t>
  </si>
  <si>
    <t>Debet</t>
  </si>
  <si>
    <t>Rep og vedligehold</t>
  </si>
  <si>
    <t>Rep og vedligehold i alt</t>
  </si>
  <si>
    <t>Drift Fælleshus mv.</t>
  </si>
  <si>
    <t>Drift Fælleshus mv. i alt</t>
  </si>
  <si>
    <t>Arrang/kultur/gaver</t>
  </si>
  <si>
    <t>Informationsteknologi</t>
  </si>
  <si>
    <t>Informationsteknologi i alt</t>
  </si>
  <si>
    <t>Variable udgifter i alt</t>
  </si>
  <si>
    <t>Dækningsbidrag</t>
  </si>
  <si>
    <t>Fasteudgifter</t>
  </si>
  <si>
    <t>Ydelser på lån i alt</t>
  </si>
  <si>
    <t>Renter og gebyrer i alt</t>
  </si>
  <si>
    <t>Drift af bestyrelsen i alt</t>
  </si>
  <si>
    <t>Revision i alt</t>
  </si>
  <si>
    <t>Diverse i alt</t>
  </si>
  <si>
    <t>Faste udgifter i alt</t>
  </si>
  <si>
    <t>Fælles udgifter i alt</t>
  </si>
  <si>
    <t>Cigarkasserne</t>
  </si>
  <si>
    <t>Vaskeriet i alt</t>
  </si>
  <si>
    <t>Vand i alt</t>
  </si>
  <si>
    <t>Varme i alt</t>
  </si>
  <si>
    <t>Renovation i alt</t>
  </si>
  <si>
    <t>TV i alt</t>
  </si>
  <si>
    <t>Fadøl i alt</t>
  </si>
  <si>
    <t>Mælk</t>
  </si>
  <si>
    <t>Mælk i alt</t>
  </si>
  <si>
    <t>Gården</t>
  </si>
  <si>
    <t>Gården i alt</t>
  </si>
  <si>
    <t>Samlet resultat</t>
  </si>
  <si>
    <t>AKTIVER</t>
  </si>
  <si>
    <t>Anlægsaktiver</t>
  </si>
  <si>
    <t>Anskaffelser</t>
  </si>
  <si>
    <t>Nyt Køkken</t>
  </si>
  <si>
    <t>Anskaffelser i alt</t>
  </si>
  <si>
    <t>Fastejendom</t>
  </si>
  <si>
    <t>Fastejendom i alt</t>
  </si>
  <si>
    <t>GEF tilgode hos I/S</t>
  </si>
  <si>
    <t>Anlægsaktiver i alt</t>
  </si>
  <si>
    <t>Omsætningsaktiver</t>
  </si>
  <si>
    <t>Tilgodehavender hos Bofæller</t>
  </si>
  <si>
    <t>Tilgodehavender fra Bofæller i alt</t>
  </si>
  <si>
    <t>Øvrige tilgodehavender</t>
  </si>
  <si>
    <t>Forudbetalte poster</t>
  </si>
  <si>
    <t>Forskud fåregruppen</t>
  </si>
  <si>
    <t>Vandregnskab</t>
  </si>
  <si>
    <t>Varmeregnskab</t>
  </si>
  <si>
    <t>Fadøl - lagerbeholdning</t>
  </si>
  <si>
    <t>Øvrige tilgodehavender i alt</t>
  </si>
  <si>
    <t>Likvidebeholdninger</t>
  </si>
  <si>
    <t>Kontant</t>
  </si>
  <si>
    <t>Likvidebeholdninger i alt</t>
  </si>
  <si>
    <t>Omsætningsaktiver i alt</t>
  </si>
  <si>
    <t>AKTIVER I ALT</t>
  </si>
  <si>
    <t>PASSIVER</t>
  </si>
  <si>
    <t>EGENKAPITAL</t>
  </si>
  <si>
    <t>Egenkapital primo</t>
  </si>
  <si>
    <t>Periodens resultat</t>
  </si>
  <si>
    <t>1000..4990</t>
  </si>
  <si>
    <t>EGENKAPITAL I ALT</t>
  </si>
  <si>
    <t>1000..4990;6100..6199</t>
  </si>
  <si>
    <t>Hensættelser</t>
  </si>
  <si>
    <t>Øvrige hensættelser</t>
  </si>
  <si>
    <t>Hensættelser i alt</t>
  </si>
  <si>
    <t>Gæld til banker</t>
  </si>
  <si>
    <t>Prioritetslån RKD</t>
  </si>
  <si>
    <t>Gæld til banker i alt</t>
  </si>
  <si>
    <t>Øvrig gæld</t>
  </si>
  <si>
    <t>Skyldige omkostninger</t>
  </si>
  <si>
    <t>I/S gæld til GEF</t>
  </si>
  <si>
    <t>Øvrig gæld i alt</t>
  </si>
  <si>
    <t>Gæld i alt</t>
  </si>
  <si>
    <t>PASSIVER I ALT</t>
  </si>
  <si>
    <t>1000..4990;6000..8999</t>
  </si>
  <si>
    <t>Analyse/fejlkonto</t>
  </si>
  <si>
    <t>Nulkontrol</t>
  </si>
  <si>
    <t>Fælles indtægter</t>
  </si>
  <si>
    <t xml:space="preserve">Variable udgifter </t>
  </si>
  <si>
    <t xml:space="preserve">Variable udgifter i alt </t>
  </si>
  <si>
    <t>Faste udgifter</t>
  </si>
  <si>
    <t>Debit</t>
  </si>
  <si>
    <t>Varme</t>
  </si>
  <si>
    <t>Nr.</t>
  </si>
  <si>
    <t>Budgetteret</t>
  </si>
  <si>
    <t>Perioden</t>
  </si>
  <si>
    <t>Difference</t>
  </si>
  <si>
    <t>Arr./kultur/gaver i alt</t>
  </si>
  <si>
    <t>Vask</t>
  </si>
  <si>
    <t>EL opkrævet</t>
  </si>
  <si>
    <t>Landbrugsjord - 7 B</t>
  </si>
  <si>
    <t>Fælleshus - 9 N</t>
  </si>
  <si>
    <t>Gæld</t>
  </si>
  <si>
    <t>Gevinst på valutakursdiff, debitorer</t>
  </si>
  <si>
    <t>Gevinst på valutakursdiff, kreditorer</t>
  </si>
  <si>
    <t>Ændring</t>
  </si>
  <si>
    <t xml:space="preserve">Regnskabsår </t>
  </si>
  <si>
    <t>Budgetår</t>
  </si>
  <si>
    <t>:   fra</t>
  </si>
  <si>
    <t>til</t>
  </si>
  <si>
    <t>Tørretumbler, 1999</t>
  </si>
  <si>
    <t>Nye fyr, 1999</t>
  </si>
  <si>
    <t>Deltagerbetalte arrangementer</t>
  </si>
  <si>
    <t>Cigarkasserne i alt</t>
  </si>
  <si>
    <t>Kultur opkrævet</t>
  </si>
  <si>
    <t>Kultur udlæg</t>
  </si>
  <si>
    <t>Deltagerbetalte arrangementer i alt</t>
  </si>
  <si>
    <t>Indvendig vedligehold - Hus 26A</t>
  </si>
  <si>
    <t>Indvendig vedligehold - Hus 26C</t>
  </si>
  <si>
    <t>Huslejedepositum - Hus 26A</t>
  </si>
  <si>
    <t>Huslejedepositum - Hus 26C</t>
  </si>
  <si>
    <t>TV + licens</t>
  </si>
  <si>
    <t>Aviser og tidsskrifter</t>
  </si>
  <si>
    <t>Ressourceforbrug i Fælleshuset</t>
  </si>
  <si>
    <t>Ressourceforbrug i Fælleshuset i alt</t>
  </si>
  <si>
    <t>Øredifferencer</t>
  </si>
  <si>
    <t>Årets resultat for Bakken</t>
  </si>
  <si>
    <t>Vand vaskeriet</t>
  </si>
  <si>
    <t>Ikke længere i brug</t>
  </si>
  <si>
    <t>Forsikringer - 4.318.305.792</t>
  </si>
  <si>
    <t>Indv. Vedligehold Gården</t>
  </si>
  <si>
    <t>Stuehus + Østlængen - 7 AV</t>
  </si>
  <si>
    <t>Resultat:</t>
  </si>
  <si>
    <t>-  Bakken</t>
  </si>
  <si>
    <t>Balance:</t>
  </si>
  <si>
    <t>Får</t>
  </si>
  <si>
    <t>Løbende udgifter/får</t>
  </si>
  <si>
    <t>Engangsudgifter/får</t>
  </si>
  <si>
    <t>Årets udvikling/får</t>
  </si>
  <si>
    <t>Får i alt</t>
  </si>
  <si>
    <t>Regulering af lagerbeholdning</t>
  </si>
  <si>
    <t>Fåreprodukter- lagerbeholdning</t>
  </si>
  <si>
    <t>Hegn og hus/får</t>
  </si>
  <si>
    <t>Besætning/får</t>
  </si>
  <si>
    <t>Finansbanken 1122183</t>
  </si>
  <si>
    <t>Finansbanken 1243045 - fyrudskiftning</t>
  </si>
  <si>
    <t>Finansbanken 1234291 - komfur &amp; ovn</t>
  </si>
  <si>
    <t>Finansbanken 1328083 - Tørretumbler</t>
  </si>
  <si>
    <t>Rep. vaskeriet</t>
  </si>
  <si>
    <t>Årets reguleringer af egenkapitalen</t>
  </si>
  <si>
    <t>-  GEF ændring</t>
  </si>
  <si>
    <t xml:space="preserve">Udløber </t>
  </si>
  <si>
    <t>-  Gården</t>
  </si>
  <si>
    <t>-  Nyt GEF</t>
  </si>
  <si>
    <t>Markedsføring</t>
  </si>
  <si>
    <t>Stigning</t>
  </si>
  <si>
    <t>Gårdens GEF</t>
  </si>
  <si>
    <t>Træk på kassekreditten</t>
  </si>
  <si>
    <t>Arbejdskapital</t>
  </si>
  <si>
    <t>Fester/kultur</t>
  </si>
  <si>
    <t>Kultur - udgået</t>
  </si>
  <si>
    <t>Afskrivninger</t>
  </si>
  <si>
    <t>Depositum mælkeordningen - udgået</t>
  </si>
  <si>
    <t>Jyske Bank 135684-2 - Udgået</t>
  </si>
  <si>
    <t>Nordea - 3495871427</t>
  </si>
  <si>
    <t>Nordea Prioritet</t>
  </si>
  <si>
    <t>Slutsaldo</t>
  </si>
  <si>
    <t>Afdrag per år</t>
  </si>
  <si>
    <t>Afdrag per GEF</t>
  </si>
  <si>
    <t>Afdragsperiode i mdr</t>
  </si>
  <si>
    <t>Udløb</t>
  </si>
  <si>
    <t>2232 - komfur &amp; ovn</t>
  </si>
  <si>
    <t>2233 - fyrudskiftning</t>
  </si>
  <si>
    <t>2234 - Tørretumbler</t>
  </si>
  <si>
    <t>2231 - Prioritetslån RKD</t>
  </si>
  <si>
    <t>Komfur &amp; Ovn, ????</t>
  </si>
  <si>
    <t>Fyrudskiftning, 1999</t>
  </si>
  <si>
    <t>Gårdens ændring</t>
  </si>
  <si>
    <t>Stempel</t>
  </si>
  <si>
    <t>Gammel gæld i alt</t>
  </si>
  <si>
    <t>Stempel tillæg</t>
  </si>
  <si>
    <t>Ny restgæld</t>
  </si>
  <si>
    <t>Diverse Fælleshus</t>
  </si>
  <si>
    <t>Saldo per 21/5</t>
  </si>
  <si>
    <t>Saldo per  21/5</t>
  </si>
  <si>
    <t>Diff</t>
  </si>
  <si>
    <t>Bilag 250</t>
  </si>
  <si>
    <t>Passiv</t>
  </si>
  <si>
    <t>Aktiv</t>
  </si>
  <si>
    <t>Overføres fra 5104 til 5101</t>
  </si>
  <si>
    <t>Overføres fra 5104 til 5106</t>
  </si>
  <si>
    <t>Overføres fra 5104 til 6130</t>
  </si>
  <si>
    <t>6620 - Prioritetslån RKD per 28/6-12</t>
  </si>
  <si>
    <t>Periodens afdrag</t>
  </si>
  <si>
    <t>6620 - Prioritetslån RKD per 1/1-12</t>
  </si>
  <si>
    <t>Bilag 310</t>
  </si>
  <si>
    <t>Rykkergebyr</t>
  </si>
  <si>
    <t>Lys, blomster</t>
  </si>
  <si>
    <t>7AV - Stuehuset + Østlængen</t>
  </si>
  <si>
    <t>Gl. RKD-lån</t>
  </si>
  <si>
    <t>Nordea</t>
  </si>
  <si>
    <t>Tilgodehavender - Øvrige debitorer</t>
  </si>
  <si>
    <t>2235 - Vaskemaskiner</t>
  </si>
  <si>
    <t>31.12.23</t>
  </si>
  <si>
    <t>2017 -&gt;</t>
  </si>
  <si>
    <t>Gl afdrag</t>
  </si>
  <si>
    <t>2 x GEF</t>
  </si>
  <si>
    <t>Renovation 2012 jan-jun.</t>
  </si>
  <si>
    <t>Stk</t>
  </si>
  <si>
    <t>Stk. pris</t>
  </si>
  <si>
    <t>ex moms</t>
  </si>
  <si>
    <t>inkl. Moms</t>
  </si>
  <si>
    <t xml:space="preserve"> Hus/mdr</t>
  </si>
  <si>
    <t>Årligt</t>
  </si>
  <si>
    <t>Reg 2012</t>
  </si>
  <si>
    <t>50 lugetømning</t>
  </si>
  <si>
    <t>110 I sæk ekstra ugetømning</t>
  </si>
  <si>
    <t>110 I sæk ugetømning</t>
  </si>
  <si>
    <t xml:space="preserve">Glas </t>
  </si>
  <si>
    <t xml:space="preserve">Papir </t>
  </si>
  <si>
    <t xml:space="preserve">Storskrald </t>
  </si>
  <si>
    <t>Farligt affald</t>
  </si>
  <si>
    <t>Genbrugsplads</t>
  </si>
  <si>
    <t>Renovation Privat i alt</t>
  </si>
  <si>
    <t>Gården på Fælleshusets opkrævning</t>
  </si>
  <si>
    <t>400 I cont. ugetømning</t>
  </si>
  <si>
    <t>800 I cont. Ugetømning</t>
  </si>
  <si>
    <t>Fælleshuset i alt</t>
  </si>
  <si>
    <t>Kontrol</t>
  </si>
  <si>
    <t>Gårdens egen opkrævning</t>
  </si>
  <si>
    <t>Gårdrdens opkrævning via Fælleshuset</t>
  </si>
  <si>
    <t>Ca. tal for renterudvikling ved omlægning til Nordea</t>
  </si>
  <si>
    <t>Halvårligt</t>
  </si>
  <si>
    <t>Årligt / hus</t>
  </si>
  <si>
    <t>9 måneder Nordea</t>
  </si>
  <si>
    <t>6 mdr Kreditforening</t>
  </si>
  <si>
    <t>3 mdr Finansbanken</t>
  </si>
  <si>
    <t>Renteudgift 2012 i alt</t>
  </si>
  <si>
    <t>Renteudgift 2012 gamle lån</t>
  </si>
  <si>
    <t>Rentebesparelse i 2012</t>
  </si>
  <si>
    <t>Træk på det nye lån:</t>
  </si>
  <si>
    <t>-  Kreditforening</t>
  </si>
  <si>
    <t>-  Fyr</t>
  </si>
  <si>
    <t>-  Køkken</t>
  </si>
  <si>
    <t>-  Tumbler</t>
  </si>
  <si>
    <t>Gennemsnitlige indestående</t>
  </si>
  <si>
    <t>Gebyr til låneomlægning</t>
  </si>
  <si>
    <t>Bilag 473</t>
  </si>
  <si>
    <t>Cigarkasser der IKKE kan stemme per 31/12 - se seperate regnskaber på hjemmesiden</t>
  </si>
  <si>
    <t>Bilag 499</t>
  </si>
  <si>
    <t>a. Indestående på kassekreditten</t>
  </si>
  <si>
    <t>b. Vores opsparing</t>
  </si>
  <si>
    <t>c. Gårdens penge</t>
  </si>
  <si>
    <t>Til dækning af 6 ugers udgifter</t>
  </si>
  <si>
    <t>Behov for driftskapital</t>
  </si>
  <si>
    <t>Likviditetsunderskud</t>
  </si>
  <si>
    <t>Cigarkasser der skal stemme per 31/12 indenfor +/- 100 dkk</t>
  </si>
  <si>
    <t>Formueopgørelse</t>
  </si>
  <si>
    <t>Salg af fåreprodukter (Brutto)</t>
  </si>
  <si>
    <t>Rabat på fåreprodukter</t>
  </si>
  <si>
    <t>Bakken Bank</t>
  </si>
  <si>
    <t>Bakken Bank i alt</t>
  </si>
  <si>
    <t>Opsparing</t>
  </si>
  <si>
    <t>Saldobalancen per 31/12-11</t>
  </si>
  <si>
    <r>
      <t>Saldobalance for perioden 01.01.12-31.12.12</t>
    </r>
    <r>
      <rPr>
        <sz val="10"/>
        <rFont val="Arial"/>
        <family val="2"/>
      </rPr>
      <t> </t>
    </r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</si>
  <si>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</si>
  <si>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</si>
  <si>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</si>
  <si>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</si>
  <si>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</si>
  <si>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</si>
  <si>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</si>
  <si>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</si>
  <si>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</si>
  <si>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</si>
  <si>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</si>
  <si>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</si>
  <si>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Projekter</t>
  </si>
  <si>
    <t>M</t>
  </si>
  <si>
    <t>N</t>
  </si>
  <si>
    <t>O</t>
  </si>
  <si>
    <t>P</t>
  </si>
  <si>
    <t>Asfalt</t>
  </si>
  <si>
    <t>Salg af Gården</t>
  </si>
  <si>
    <t>Kolbøtten</t>
  </si>
  <si>
    <t>Fælleshustorvet</t>
  </si>
  <si>
    <t>Svællemuren</t>
  </si>
  <si>
    <t>Uspecificerede projekter</t>
  </si>
  <si>
    <t>Projekter i alt</t>
  </si>
  <si>
    <t>Olietanke</t>
  </si>
  <si>
    <t>Varmt vandsbeholder hus 24-25</t>
  </si>
  <si>
    <t>Q</t>
  </si>
  <si>
    <t>R</t>
  </si>
  <si>
    <t>Energnisterne</t>
  </si>
  <si>
    <t>Fælleshusfornyelse</t>
  </si>
  <si>
    <t>Nye vinduer i fælleshus</t>
  </si>
  <si>
    <t>Tag- og skotrender</t>
  </si>
  <si>
    <t>Nye arbejdsbesparende maskiner</t>
  </si>
  <si>
    <t>S</t>
  </si>
  <si>
    <t>T</t>
  </si>
  <si>
    <t>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</si>
</sst>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_ ;[Red]\-#,##0\ "/>
    <numFmt numFmtId="165" formatCode="#,##0.0000"/>
    <numFmt numFmtId="166" formatCode="0.0%"/>
    <numFmt numFmtId="167" formatCode="d\.m\.yy;@"/>
  </numFmts>
  <fonts count="1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name val="Arial Unicode MS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Verdana"/>
      <family val="2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gray06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3" fontId="2" fillId="0" borderId="0" xfId="0" applyNumberFormat="1" applyFont="1" applyBorder="1"/>
    <xf numFmtId="3" fontId="2" fillId="0" borderId="1" xfId="0" applyNumberFormat="1" applyFont="1" applyFill="1" applyBorder="1"/>
    <xf numFmtId="3" fontId="2" fillId="0" borderId="0" xfId="0" applyNumberFormat="1" applyFont="1"/>
    <xf numFmtId="3" fontId="4" fillId="0" borderId="0" xfId="0" applyNumberFormat="1" applyFont="1" applyAlignment="1">
      <alignment horizontal="center"/>
    </xf>
    <xf numFmtId="3" fontId="2" fillId="0" borderId="0" xfId="0" applyNumberFormat="1" applyFont="1" applyFill="1" applyBorder="1"/>
    <xf numFmtId="3" fontId="2" fillId="0" borderId="1" xfId="0" applyNumberFormat="1" applyFont="1" applyBorder="1"/>
    <xf numFmtId="3" fontId="1" fillId="0" borderId="2" xfId="0" applyNumberFormat="1" applyFont="1" applyFill="1" applyBorder="1"/>
    <xf numFmtId="3" fontId="1" fillId="0" borderId="0" xfId="0" applyNumberFormat="1" applyFont="1"/>
    <xf numFmtId="3" fontId="3" fillId="0" borderId="1" xfId="0" applyNumberFormat="1" applyFont="1" applyBorder="1" applyAlignment="1">
      <alignment horizontal="center"/>
    </xf>
    <xf numFmtId="3" fontId="4" fillId="2" borderId="3" xfId="0" applyNumberFormat="1" applyFont="1" applyFill="1" applyBorder="1"/>
    <xf numFmtId="3" fontId="2" fillId="2" borderId="1" xfId="0" applyNumberFormat="1" applyFont="1" applyFill="1" applyBorder="1"/>
    <xf numFmtId="3" fontId="1" fillId="0" borderId="0" xfId="0" applyNumberFormat="1" applyFont="1" applyFill="1" applyBorder="1"/>
    <xf numFmtId="3" fontId="2" fillId="0" borderId="3" xfId="0" applyNumberFormat="1" applyFont="1" applyBorder="1"/>
    <xf numFmtId="3" fontId="4" fillId="0" borderId="3" xfId="0" applyNumberFormat="1" applyFont="1" applyFill="1" applyBorder="1"/>
    <xf numFmtId="3" fontId="2" fillId="0" borderId="4" xfId="0" applyNumberFormat="1" applyFont="1" applyBorder="1"/>
    <xf numFmtId="3" fontId="1" fillId="0" borderId="5" xfId="0" applyNumberFormat="1" applyFont="1" applyFill="1" applyBorder="1"/>
    <xf numFmtId="3" fontId="1" fillId="0" borderId="6" xfId="0" applyNumberFormat="1" applyFont="1" applyFill="1" applyBorder="1"/>
    <xf numFmtId="3" fontId="2" fillId="0" borderId="7" xfId="0" applyNumberFormat="1" applyFont="1" applyFill="1" applyBorder="1"/>
    <xf numFmtId="3" fontId="2" fillId="0" borderId="3" xfId="0" applyNumberFormat="1" applyFont="1" applyFill="1" applyBorder="1"/>
    <xf numFmtId="3" fontId="0" fillId="0" borderId="0" xfId="0" applyNumberFormat="1"/>
    <xf numFmtId="3" fontId="1" fillId="0" borderId="8" xfId="0" applyNumberFormat="1" applyFont="1" applyFill="1" applyBorder="1"/>
    <xf numFmtId="3" fontId="1" fillId="0" borderId="9" xfId="0" applyNumberFormat="1" applyFont="1" applyBorder="1"/>
    <xf numFmtId="3" fontId="1" fillId="2" borderId="10" xfId="0" applyNumberFormat="1" applyFont="1" applyFill="1" applyBorder="1"/>
    <xf numFmtId="3" fontId="2" fillId="2" borderId="11" xfId="0" applyNumberFormat="1" applyFont="1" applyFill="1" applyBorder="1"/>
    <xf numFmtId="3" fontId="2" fillId="2" borderId="12" xfId="0" applyNumberFormat="1" applyFont="1" applyFill="1" applyBorder="1"/>
    <xf numFmtId="3" fontId="2" fillId="0" borderId="3" xfId="0" applyNumberFormat="1" applyFont="1" applyBorder="1" applyAlignment="1">
      <alignment horizontal="center"/>
    </xf>
    <xf numFmtId="3" fontId="2" fillId="2" borderId="13" xfId="0" applyNumberFormat="1" applyFont="1" applyFill="1" applyBorder="1"/>
    <xf numFmtId="3" fontId="2" fillId="2" borderId="14" xfId="0" applyNumberFormat="1" applyFont="1" applyFill="1" applyBorder="1"/>
    <xf numFmtId="3" fontId="2" fillId="0" borderId="15" xfId="0" applyNumberFormat="1" applyFont="1" applyFill="1" applyBorder="1"/>
    <xf numFmtId="3" fontId="2" fillId="0" borderId="16" xfId="0" applyNumberFormat="1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3" fontId="0" fillId="0" borderId="3" xfId="0" applyNumberFormat="1" applyBorder="1"/>
    <xf numFmtId="3" fontId="1" fillId="0" borderId="3" xfId="0" applyNumberFormat="1" applyFont="1" applyFill="1" applyBorder="1"/>
    <xf numFmtId="3" fontId="0" fillId="0" borderId="1" xfId="0" applyNumberFormat="1" applyBorder="1"/>
    <xf numFmtId="3" fontId="2" fillId="0" borderId="8" xfId="0" applyNumberFormat="1" applyFont="1" applyBorder="1"/>
    <xf numFmtId="3" fontId="4" fillId="0" borderId="0" xfId="0" applyNumberFormat="1" applyFont="1"/>
    <xf numFmtId="3" fontId="2" fillId="2" borderId="10" xfId="0" applyNumberFormat="1" applyFont="1" applyFill="1" applyBorder="1"/>
    <xf numFmtId="3" fontId="2" fillId="2" borderId="12" xfId="0" applyNumberFormat="1" applyFont="1" applyFill="1" applyBorder="1" applyAlignment="1">
      <alignment horizontal="center"/>
    </xf>
    <xf numFmtId="3" fontId="1" fillId="0" borderId="19" xfId="0" applyNumberFormat="1" applyFont="1" applyBorder="1"/>
    <xf numFmtId="3" fontId="1" fillId="0" borderId="0" xfId="0" applyNumberFormat="1" applyFont="1" applyBorder="1"/>
    <xf numFmtId="1" fontId="2" fillId="0" borderId="20" xfId="0" applyNumberFormat="1" applyFont="1" applyFill="1" applyBorder="1"/>
    <xf numFmtId="1" fontId="2" fillId="0" borderId="21" xfId="0" applyNumberFormat="1" applyFont="1" applyFill="1" applyBorder="1" applyAlignment="1">
      <alignment horizontal="center"/>
    </xf>
    <xf numFmtId="1" fontId="2" fillId="0" borderId="7" xfId="0" applyNumberFormat="1" applyFont="1" applyFill="1" applyBorder="1"/>
    <xf numFmtId="1" fontId="2" fillId="0" borderId="4" xfId="0" applyNumberFormat="1" applyFont="1" applyFill="1" applyBorder="1" applyAlignment="1">
      <alignment horizontal="center"/>
    </xf>
    <xf numFmtId="1" fontId="2" fillId="0" borderId="3" xfId="0" applyNumberFormat="1" applyFont="1" applyFill="1" applyBorder="1"/>
    <xf numFmtId="1" fontId="2" fillId="0" borderId="1" xfId="0" applyNumberFormat="1" applyFont="1" applyFill="1" applyBorder="1" applyAlignment="1">
      <alignment horizontal="center"/>
    </xf>
    <xf numFmtId="3" fontId="4" fillId="0" borderId="0" xfId="0" applyNumberFormat="1" applyFont="1" applyAlignment="1">
      <alignment horizontal="right"/>
    </xf>
    <xf numFmtId="3" fontId="2" fillId="0" borderId="18" xfId="0" applyNumberFormat="1" applyFont="1" applyFill="1" applyBorder="1"/>
    <xf numFmtId="3" fontId="2" fillId="0" borderId="18" xfId="0" applyNumberFormat="1" applyFont="1" applyBorder="1"/>
    <xf numFmtId="3" fontId="0" fillId="0" borderId="0" xfId="0" applyNumberFormat="1" applyAlignment="1"/>
    <xf numFmtId="0" fontId="0" fillId="0" borderId="0" xfId="0" applyNumberFormat="1" applyAlignment="1"/>
    <xf numFmtId="3" fontId="2" fillId="2" borderId="3" xfId="0" applyNumberFormat="1" applyFont="1" applyFill="1" applyBorder="1"/>
    <xf numFmtId="3" fontId="0" fillId="2" borderId="3" xfId="0" applyNumberFormat="1" applyFill="1" applyBorder="1"/>
    <xf numFmtId="3" fontId="4" fillId="0" borderId="0" xfId="0" applyNumberFormat="1" applyFont="1" applyAlignment="1" applyProtection="1">
      <alignment horizontal="right"/>
      <protection locked="0" hidden="1"/>
    </xf>
    <xf numFmtId="3" fontId="4" fillId="0" borderId="17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right"/>
    </xf>
    <xf numFmtId="0" fontId="7" fillId="0" borderId="0" xfId="0" applyFont="1"/>
    <xf numFmtId="14" fontId="7" fillId="0" borderId="0" xfId="0" applyNumberFormat="1" applyFont="1"/>
    <xf numFmtId="2" fontId="7" fillId="0" borderId="0" xfId="0" applyNumberFormat="1" applyFont="1"/>
    <xf numFmtId="14" fontId="0" fillId="0" borderId="0" xfId="0" applyNumberFormat="1"/>
    <xf numFmtId="2" fontId="0" fillId="0" borderId="0" xfId="0" applyNumberFormat="1"/>
    <xf numFmtId="0" fontId="6" fillId="0" borderId="0" xfId="0" applyFont="1"/>
    <xf numFmtId="3" fontId="10" fillId="0" borderId="0" xfId="0" applyNumberFormat="1" applyFont="1"/>
    <xf numFmtId="49" fontId="0" fillId="0" borderId="0" xfId="0" applyNumberFormat="1" applyAlignment="1">
      <alignment wrapText="1"/>
    </xf>
    <xf numFmtId="1" fontId="0" fillId="0" borderId="0" xfId="0" applyNumberFormat="1" applyAlignment="1">
      <alignment wrapText="1"/>
    </xf>
    <xf numFmtId="4" fontId="0" fillId="0" borderId="0" xfId="0" applyNumberFormat="1" applyAlignment="1">
      <alignment horizontal="right" wrapText="1"/>
    </xf>
    <xf numFmtId="3" fontId="1" fillId="0" borderId="9" xfId="0" applyNumberFormat="1" applyFont="1" applyBorder="1" applyAlignment="1">
      <alignment horizontal="center"/>
    </xf>
    <xf numFmtId="1" fontId="4" fillId="0" borderId="0" xfId="0" quotePrefix="1" applyNumberFormat="1" applyFont="1" applyAlignment="1">
      <alignment horizontal="right"/>
    </xf>
    <xf numFmtId="2" fontId="8" fillId="0" borderId="0" xfId="0" applyNumberFormat="1" applyFont="1" applyAlignment="1">
      <alignment horizontal="right" wrapText="1"/>
    </xf>
    <xf numFmtId="1" fontId="1" fillId="0" borderId="0" xfId="0" applyNumberFormat="1" applyFont="1"/>
    <xf numFmtId="3" fontId="1" fillId="0" borderId="0" xfId="0" applyNumberFormat="1" applyFont="1" applyAlignment="1">
      <alignment horizontal="right"/>
    </xf>
    <xf numFmtId="14" fontId="1" fillId="0" borderId="0" xfId="0" applyNumberFormat="1" applyFont="1"/>
    <xf numFmtId="3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8" fillId="3" borderId="0" xfId="0" applyNumberFormat="1" applyFont="1" applyFill="1" applyAlignment="1">
      <alignment wrapText="1"/>
    </xf>
    <xf numFmtId="49" fontId="8" fillId="3" borderId="0" xfId="0" applyNumberFormat="1" applyFont="1" applyFill="1" applyAlignment="1">
      <alignment wrapText="1"/>
    </xf>
    <xf numFmtId="1" fontId="8" fillId="0" borderId="0" xfId="0" applyNumberFormat="1" applyFont="1" applyAlignment="1">
      <alignment wrapText="1"/>
    </xf>
    <xf numFmtId="1" fontId="8" fillId="4" borderId="0" xfId="0" applyNumberFormat="1" applyFont="1" applyFill="1" applyAlignment="1">
      <alignment wrapText="1"/>
    </xf>
    <xf numFmtId="49" fontId="8" fillId="4" borderId="0" xfId="0" applyNumberFormat="1" applyFont="1" applyFill="1" applyAlignment="1">
      <alignment wrapText="1"/>
    </xf>
    <xf numFmtId="3" fontId="11" fillId="0" borderId="0" xfId="0" applyNumberFormat="1" applyFont="1"/>
    <xf numFmtId="3" fontId="11" fillId="0" borderId="0" xfId="0" quotePrefix="1" applyNumberFormat="1" applyFont="1"/>
    <xf numFmtId="3" fontId="3" fillId="0" borderId="19" xfId="0" applyNumberFormat="1" applyFont="1" applyBorder="1" applyAlignment="1">
      <alignment horizontal="center"/>
    </xf>
    <xf numFmtId="3" fontId="4" fillId="2" borderId="1" xfId="0" applyNumberFormat="1" applyFont="1" applyFill="1" applyBorder="1"/>
    <xf numFmtId="3" fontId="11" fillId="2" borderId="3" xfId="0" applyNumberFormat="1" applyFont="1" applyFill="1" applyBorder="1"/>
    <xf numFmtId="3" fontId="11" fillId="2" borderId="1" xfId="0" applyNumberFormat="1" applyFont="1" applyFill="1" applyBorder="1"/>
    <xf numFmtId="3" fontId="4" fillId="0" borderId="3" xfId="0" applyNumberFormat="1" applyFont="1" applyBorder="1"/>
    <xf numFmtId="3" fontId="4" fillId="0" borderId="1" xfId="0" applyNumberFormat="1" applyFont="1" applyBorder="1"/>
    <xf numFmtId="1" fontId="0" fillId="0" borderId="0" xfId="0" applyNumberFormat="1"/>
    <xf numFmtId="3" fontId="3" fillId="0" borderId="22" xfId="0" applyNumberFormat="1" applyFont="1" applyBorder="1" applyAlignment="1">
      <alignment horizontal="center"/>
    </xf>
    <xf numFmtId="1" fontId="5" fillId="0" borderId="0" xfId="0" quotePrefix="1" applyNumberFormat="1" applyFont="1" applyAlignment="1">
      <alignment horizontal="right"/>
    </xf>
    <xf numFmtId="4" fontId="0" fillId="0" borderId="0" xfId="0" applyNumberFormat="1"/>
    <xf numFmtId="164" fontId="1" fillId="0" borderId="9" xfId="0" applyNumberFormat="1" applyFont="1" applyBorder="1"/>
    <xf numFmtId="164" fontId="11" fillId="0" borderId="0" xfId="0" applyNumberFormat="1" applyFont="1"/>
    <xf numFmtId="3" fontId="11" fillId="2" borderId="1" xfId="0" quotePrefix="1" applyNumberFormat="1" applyFont="1" applyFill="1" applyBorder="1" applyAlignment="1">
      <alignment horizontal="right"/>
    </xf>
    <xf numFmtId="3" fontId="12" fillId="0" borderId="0" xfId="0" applyNumberFormat="1" applyFont="1" applyAlignment="1">
      <alignment horizontal="center"/>
    </xf>
    <xf numFmtId="165" fontId="0" fillId="0" borderId="0" xfId="0" applyNumberFormat="1"/>
    <xf numFmtId="1" fontId="4" fillId="0" borderId="0" xfId="0" quotePrefix="1" applyNumberFormat="1" applyFont="1" applyAlignment="1">
      <alignment horizontal="left"/>
    </xf>
    <xf numFmtId="166" fontId="4" fillId="0" borderId="0" xfId="0" applyNumberFormat="1" applyFont="1" applyAlignment="1" applyProtection="1">
      <alignment horizontal="right"/>
    </xf>
    <xf numFmtId="3" fontId="5" fillId="0" borderId="23" xfId="0" applyNumberFormat="1" applyFont="1" applyBorder="1" applyAlignment="1" applyProtection="1">
      <alignment horizontal="right"/>
    </xf>
    <xf numFmtId="3" fontId="2" fillId="0" borderId="1" xfId="0" applyNumberFormat="1" applyFont="1" applyFill="1" applyBorder="1" applyProtection="1"/>
    <xf numFmtId="3" fontId="4" fillId="2" borderId="3" xfId="0" applyNumberFormat="1" applyFont="1" applyFill="1" applyBorder="1" applyProtection="1">
      <protection locked="0"/>
    </xf>
    <xf numFmtId="3" fontId="11" fillId="2" borderId="3" xfId="0" applyNumberFormat="1" applyFont="1" applyFill="1" applyBorder="1" applyProtection="1">
      <protection locked="0"/>
    </xf>
    <xf numFmtId="3" fontId="2" fillId="0" borderId="1" xfId="0" applyNumberFormat="1" applyFont="1" applyFill="1" applyBorder="1" applyProtection="1">
      <protection locked="0"/>
    </xf>
    <xf numFmtId="3" fontId="4" fillId="2" borderId="1" xfId="0" applyNumberFormat="1" applyFont="1" applyFill="1" applyBorder="1" applyProtection="1">
      <protection locked="0"/>
    </xf>
    <xf numFmtId="3" fontId="11" fillId="2" borderId="1" xfId="0" applyNumberFormat="1" applyFont="1" applyFill="1" applyBorder="1" applyProtection="1">
      <protection locked="0"/>
    </xf>
    <xf numFmtId="3" fontId="1" fillId="0" borderId="2" xfId="0" applyNumberFormat="1" applyFont="1" applyFill="1" applyBorder="1" applyProtection="1"/>
    <xf numFmtId="3" fontId="3" fillId="0" borderId="9" xfId="0" applyNumberFormat="1" applyFon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3" fontId="3" fillId="0" borderId="25" xfId="0" applyNumberFormat="1" applyFont="1" applyBorder="1" applyAlignment="1">
      <alignment horizontal="center"/>
    </xf>
    <xf numFmtId="167" fontId="2" fillId="0" borderId="0" xfId="0" applyNumberFormat="1" applyFont="1"/>
    <xf numFmtId="0" fontId="2" fillId="0" borderId="0" xfId="0" applyFont="1"/>
    <xf numFmtId="3" fontId="11" fillId="2" borderId="3" xfId="0" applyNumberFormat="1" applyFont="1" applyFill="1" applyBorder="1" applyProtection="1"/>
    <xf numFmtId="49" fontId="16" fillId="0" borderId="0" xfId="0" applyNumberFormat="1" applyFont="1" applyAlignment="1">
      <alignment wrapText="1"/>
    </xf>
    <xf numFmtId="4" fontId="16" fillId="0" borderId="0" xfId="0" applyNumberFormat="1" applyFont="1" applyAlignment="1">
      <alignment horizontal="right" wrapText="1"/>
    </xf>
    <xf numFmtId="0" fontId="13" fillId="0" borderId="0" xfId="0" applyFont="1"/>
    <xf numFmtId="4" fontId="0" fillId="0" borderId="17" xfId="0" applyNumberFormat="1" applyBorder="1"/>
    <xf numFmtId="4" fontId="17" fillId="0" borderId="0" xfId="0" applyNumberFormat="1" applyFont="1"/>
    <xf numFmtId="49" fontId="16" fillId="0" borderId="0" xfId="0" applyNumberFormat="1" applyFont="1" applyAlignment="1">
      <alignment horizontal="right" wrapText="1"/>
    </xf>
    <xf numFmtId="3" fontId="1" fillId="0" borderId="26" xfId="0" applyNumberFormat="1" applyFont="1" applyBorder="1"/>
    <xf numFmtId="0" fontId="2" fillId="0" borderId="0" xfId="0" quotePrefix="1" applyFont="1"/>
    <xf numFmtId="167" fontId="2" fillId="0" borderId="0" xfId="0" applyNumberFormat="1" applyFont="1" applyAlignment="1">
      <alignment horizontal="right"/>
    </xf>
    <xf numFmtId="4" fontId="0" fillId="0" borderId="0" xfId="0" applyNumberFormat="1" applyAlignment="1">
      <alignment horizontal="center" vertical="top"/>
    </xf>
    <xf numFmtId="4" fontId="2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/>
    </xf>
    <xf numFmtId="0" fontId="1" fillId="0" borderId="0" xfId="0" applyFont="1"/>
    <xf numFmtId="0" fontId="1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4" fillId="0" borderId="0" xfId="0" applyFont="1" applyAlignment="1">
      <alignment horizontal="left" vertical="top" wrapText="1"/>
    </xf>
    <xf numFmtId="0" fontId="14" fillId="0" borderId="0" xfId="0" applyFont="1"/>
    <xf numFmtId="4" fontId="14" fillId="0" borderId="0" xfId="0" applyNumberFormat="1" applyFont="1" applyAlignment="1">
      <alignment horizontal="right" vertical="top" wrapText="1"/>
    </xf>
    <xf numFmtId="4" fontId="14" fillId="0" borderId="0" xfId="0" applyNumberFormat="1" applyFont="1"/>
    <xf numFmtId="0" fontId="14" fillId="0" borderId="17" xfId="0" applyFont="1" applyBorder="1" applyAlignment="1">
      <alignment horizontal="left" vertical="top" wrapText="1"/>
    </xf>
    <xf numFmtId="0" fontId="14" fillId="0" borderId="17" xfId="0" applyFont="1" applyBorder="1"/>
    <xf numFmtId="4" fontId="14" fillId="0" borderId="17" xfId="0" applyNumberFormat="1" applyFont="1" applyBorder="1"/>
    <xf numFmtId="4" fontId="14" fillId="0" borderId="23" xfId="0" applyNumberFormat="1" applyFont="1" applyBorder="1"/>
    <xf numFmtId="0" fontId="0" fillId="0" borderId="27" xfId="0" applyBorder="1"/>
    <xf numFmtId="4" fontId="14" fillId="0" borderId="17" xfId="0" applyNumberFormat="1" applyFont="1" applyBorder="1" applyAlignment="1">
      <alignment horizontal="right" vertical="top" wrapText="1"/>
    </xf>
    <xf numFmtId="0" fontId="0" fillId="0" borderId="17" xfId="0" applyBorder="1"/>
    <xf numFmtId="3" fontId="0" fillId="0" borderId="17" xfId="0" applyNumberFormat="1" applyBorder="1"/>
    <xf numFmtId="4" fontId="14" fillId="0" borderId="27" xfId="0" applyNumberFormat="1" applyFont="1" applyBorder="1"/>
    <xf numFmtId="0" fontId="0" fillId="0" borderId="0" xfId="0" applyBorder="1"/>
    <xf numFmtId="0" fontId="0" fillId="0" borderId="0" xfId="0" quotePrefix="1"/>
    <xf numFmtId="3" fontId="0" fillId="0" borderId="0" xfId="0" applyNumberFormat="1" applyBorder="1"/>
    <xf numFmtId="3" fontId="9" fillId="0" borderId="0" xfId="0" applyNumberFormat="1" applyFont="1"/>
    <xf numFmtId="3" fontId="5" fillId="0" borderId="0" xfId="0" applyNumberFormat="1" applyFont="1" applyAlignment="1">
      <alignment horizontal="center"/>
    </xf>
    <xf numFmtId="49" fontId="0" fillId="0" borderId="0" xfId="0" applyNumberFormat="1"/>
    <xf numFmtId="0" fontId="15" fillId="0" borderId="0" xfId="0" applyFont="1" applyAlignment="1">
      <alignment horizontal="left" indent="2"/>
    </xf>
    <xf numFmtId="0" fontId="15" fillId="0" borderId="0" xfId="0" applyFont="1"/>
    <xf numFmtId="0" fontId="15" fillId="0" borderId="0" xfId="0" applyFont="1" applyAlignment="1">
      <alignment vertical="top"/>
    </xf>
    <xf numFmtId="164" fontId="1" fillId="0" borderId="0" xfId="0" applyNumberFormat="1" applyFont="1" applyBorder="1"/>
    <xf numFmtId="3" fontId="3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4" fontId="15" fillId="0" borderId="0" xfId="0" applyNumberFormat="1" applyFont="1" applyAlignment="1"/>
    <xf numFmtId="4" fontId="15" fillId="0" borderId="17" xfId="0" applyNumberFormat="1" applyFont="1" applyBorder="1" applyAlignment="1"/>
    <xf numFmtId="4" fontId="15" fillId="0" borderId="27" xfId="0" applyNumberFormat="1" applyFont="1" applyBorder="1" applyAlignment="1"/>
    <xf numFmtId="49" fontId="1" fillId="0" borderId="0" xfId="0" applyNumberFormat="1" applyFont="1" applyAlignment="1">
      <alignment horizontal="right" vertical="top" wrapText="1"/>
    </xf>
    <xf numFmtId="49" fontId="1" fillId="0" borderId="0" xfId="0" applyNumberFormat="1" applyFont="1" applyAlignment="1">
      <alignment horizontal="left" vertical="top" wrapText="1"/>
    </xf>
    <xf numFmtId="49" fontId="16" fillId="0" borderId="0" xfId="0" applyNumberFormat="1" applyFont="1" applyAlignment="1">
      <alignment wrapText="1"/>
    </xf>
    <xf numFmtId="49" fontId="16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1"/>
  <sheetViews>
    <sheetView tabSelected="1" zoomScale="110" zoomScaleNormal="110" workbookViewId="0">
      <pane xSplit="1" ySplit="5" topLeftCell="D58" activePane="bottomRight" state="frozen"/>
      <selection pane="topRight" activeCell="B1" sqref="B1"/>
      <selection pane="bottomLeft" activeCell="A6" sqref="A6"/>
      <selection pane="bottomRight" activeCell="M128" sqref="M128"/>
    </sheetView>
  </sheetViews>
  <sheetFormatPr defaultColWidth="9.109375" defaultRowHeight="13.2" x14ac:dyDescent="0.25"/>
  <cols>
    <col min="1" max="1" width="33.33203125" style="20" customWidth="1"/>
    <col min="2" max="5" width="10.5546875" style="20" customWidth="1"/>
    <col min="6" max="6" width="11.33203125" style="20" bestFit="1" customWidth="1"/>
    <col min="7" max="7" width="10.5546875" style="20" customWidth="1"/>
    <col min="8" max="8" width="13.6640625" style="20" bestFit="1" customWidth="1"/>
    <col min="9" max="9" width="10.5546875" style="20" customWidth="1"/>
    <col min="10" max="10" width="8" style="20" customWidth="1"/>
    <col min="11" max="11" width="9.88671875" style="20" bestFit="1" customWidth="1"/>
    <col min="12" max="12" width="10.5546875" style="20" customWidth="1"/>
    <col min="13" max="13" width="10" style="20" customWidth="1"/>
    <col min="14" max="14" width="12.88671875" style="20" customWidth="1"/>
    <col min="15" max="16384" width="9.109375" style="20"/>
  </cols>
  <sheetData>
    <row r="1" spans="1:17" x14ac:dyDescent="0.25">
      <c r="F1" s="52"/>
      <c r="G1" s="53"/>
      <c r="H1" s="53"/>
      <c r="I1" s="53"/>
      <c r="J1" s="53"/>
      <c r="L1" s="53"/>
    </row>
    <row r="2" spans="1:17" s="8" customFormat="1" x14ac:dyDescent="0.25">
      <c r="A2" s="73" t="s">
        <v>202</v>
      </c>
      <c r="B2" s="72">
        <v>2012</v>
      </c>
      <c r="C2" s="75" t="s">
        <v>203</v>
      </c>
      <c r="D2" s="72">
        <v>2013</v>
      </c>
      <c r="E2" s="75" t="s">
        <v>204</v>
      </c>
      <c r="F2" s="74">
        <v>41275</v>
      </c>
      <c r="G2" s="76" t="s">
        <v>205</v>
      </c>
      <c r="H2" s="74">
        <v>41639</v>
      </c>
      <c r="K2" s="5"/>
      <c r="L2" s="74"/>
    </row>
    <row r="3" spans="1:17" ht="13.8" thickBot="1" x14ac:dyDescent="0.3">
      <c r="N3" s="57" t="s">
        <v>16</v>
      </c>
      <c r="O3" s="58" t="s">
        <v>13</v>
      </c>
    </row>
    <row r="4" spans="1:17" x14ac:dyDescent="0.25">
      <c r="A4" s="23" t="s">
        <v>183</v>
      </c>
      <c r="B4" s="24"/>
      <c r="C4" s="24"/>
      <c r="D4" s="24"/>
      <c r="E4" s="24"/>
      <c r="F4" s="24"/>
      <c r="G4" s="24"/>
      <c r="H4" s="25"/>
      <c r="I4" s="26"/>
      <c r="J4" s="39"/>
      <c r="K4" s="24"/>
      <c r="L4" s="25"/>
      <c r="M4" s="38"/>
      <c r="N4" s="70">
        <f>B2</f>
        <v>2012</v>
      </c>
      <c r="O4" s="56">
        <v>2592</v>
      </c>
    </row>
    <row r="5" spans="1:17" x14ac:dyDescent="0.25">
      <c r="A5" s="18"/>
      <c r="B5" s="43" t="s">
        <v>1</v>
      </c>
      <c r="C5" s="44">
        <f>B2-1</f>
        <v>2011</v>
      </c>
      <c r="D5" s="47" t="s">
        <v>0</v>
      </c>
      <c r="E5" s="48">
        <f>B2</f>
        <v>2012</v>
      </c>
      <c r="F5" s="43" t="s">
        <v>1</v>
      </c>
      <c r="G5" s="48">
        <f>B2</f>
        <v>2012</v>
      </c>
      <c r="H5" s="48" t="s">
        <v>2</v>
      </c>
      <c r="I5" s="4" t="s">
        <v>14</v>
      </c>
      <c r="J5" s="47" t="s">
        <v>0</v>
      </c>
      <c r="K5" s="48">
        <f>D2</f>
        <v>2013</v>
      </c>
      <c r="L5" s="48" t="s">
        <v>251</v>
      </c>
      <c r="M5" s="4" t="s">
        <v>14</v>
      </c>
      <c r="N5" s="58" t="s">
        <v>201</v>
      </c>
      <c r="O5" s="95">
        <v>0</v>
      </c>
      <c r="P5" s="100"/>
      <c r="Q5" s="49"/>
    </row>
    <row r="6" spans="1:17" ht="13.8" thickBot="1" x14ac:dyDescent="0.3">
      <c r="A6" s="29" t="s">
        <v>3</v>
      </c>
      <c r="B6" s="30"/>
      <c r="C6" s="31"/>
      <c r="D6" s="32"/>
      <c r="E6" s="33"/>
      <c r="F6" s="30"/>
      <c r="G6" s="33"/>
      <c r="H6" s="91" t="s">
        <v>4</v>
      </c>
      <c r="I6" s="4"/>
      <c r="J6" s="32"/>
      <c r="K6" s="33"/>
      <c r="L6" s="91" t="s">
        <v>4</v>
      </c>
      <c r="M6" s="4"/>
      <c r="N6" s="92">
        <f>D2</f>
        <v>2013</v>
      </c>
      <c r="O6" s="101">
        <f>SUM(O4:O5)</f>
        <v>2592</v>
      </c>
    </row>
    <row r="7" spans="1:17" ht="13.8" thickTop="1" x14ac:dyDescent="0.25">
      <c r="A7" s="35" t="str">
        <f>Saldobalance!B6</f>
        <v>GEF ejerne</v>
      </c>
      <c r="B7" s="13"/>
      <c r="C7" s="3">
        <v>-746000</v>
      </c>
      <c r="D7" s="13"/>
      <c r="E7" s="15">
        <f>Saldobalance!C6</f>
        <v>-777600</v>
      </c>
      <c r="F7" s="13"/>
      <c r="G7" s="15">
        <f>Saldobalance!D6</f>
        <v>-777600</v>
      </c>
      <c r="H7" s="9">
        <f>(G7-E7)/E7*100</f>
        <v>0</v>
      </c>
      <c r="I7" s="4"/>
      <c r="J7" s="13"/>
      <c r="K7" s="15">
        <f>-(25*12)*(O6)</f>
        <v>-777600</v>
      </c>
      <c r="L7" s="9">
        <f>(K7-E7)/E7*100</f>
        <v>0</v>
      </c>
      <c r="M7" s="4"/>
    </row>
    <row r="8" spans="1:17" x14ac:dyDescent="0.25">
      <c r="A8" s="35" t="str">
        <f>Saldobalance!B7</f>
        <v>GEF lejerne</v>
      </c>
      <c r="B8" s="13"/>
      <c r="C8" s="6">
        <v>-47286</v>
      </c>
      <c r="D8" s="13"/>
      <c r="E8" s="6">
        <f>Saldobalance!C7</f>
        <v>-46656</v>
      </c>
      <c r="F8" s="13"/>
      <c r="G8" s="6">
        <f>Saldobalance!D7</f>
        <v>-46656</v>
      </c>
      <c r="H8" s="9">
        <f>(G8-E8)/E8*100</f>
        <v>0</v>
      </c>
      <c r="I8" s="4"/>
      <c r="J8" s="13"/>
      <c r="K8" s="6">
        <f>-(O6*12)*1.5</f>
        <v>-46656</v>
      </c>
      <c r="L8" s="9">
        <f>(K8-E8)/E8*100</f>
        <v>0</v>
      </c>
      <c r="M8" s="4"/>
      <c r="N8" s="82" t="s">
        <v>252</v>
      </c>
      <c r="O8" s="95">
        <f>O6*0.75*2</f>
        <v>3888</v>
      </c>
    </row>
    <row r="9" spans="1:17" x14ac:dyDescent="0.25">
      <c r="A9" s="35" t="str">
        <f>Saldobalance!B8</f>
        <v>Rykkergebyr</v>
      </c>
      <c r="B9" s="13"/>
      <c r="C9" s="3">
        <v>-4681.3900000000003</v>
      </c>
      <c r="D9" s="13"/>
      <c r="E9" s="6">
        <f>Saldobalance!C8</f>
        <v>-4000</v>
      </c>
      <c r="F9" s="13"/>
      <c r="G9" s="6">
        <f>Saldobalance!D8</f>
        <v>-2000</v>
      </c>
      <c r="H9" s="9">
        <f>(G9-E9)/E9*100</f>
        <v>-50</v>
      </c>
      <c r="I9" s="4"/>
      <c r="J9" s="13"/>
      <c r="K9" s="6">
        <v>-2000</v>
      </c>
      <c r="L9" s="9">
        <f>(K9-E9)/E9*100</f>
        <v>-50</v>
      </c>
      <c r="M9" s="4"/>
      <c r="N9" s="82" t="s">
        <v>273</v>
      </c>
      <c r="O9" s="95">
        <f>(J83/12-Saldobalance!C78/12)</f>
        <v>0</v>
      </c>
    </row>
    <row r="10" spans="1:17" x14ac:dyDescent="0.25">
      <c r="A10" s="35" t="str">
        <f>Saldobalance!B9</f>
        <v>Andre indtægter</v>
      </c>
      <c r="B10" s="13"/>
      <c r="C10" s="51">
        <v>0</v>
      </c>
      <c r="D10" s="13"/>
      <c r="E10" s="6">
        <f>Saldobalance!C9</f>
        <v>0</v>
      </c>
      <c r="F10" s="13"/>
      <c r="G10" s="6">
        <f>Saldobalance!D9</f>
        <v>-16193.24</v>
      </c>
      <c r="H10" s="91" t="e">
        <f>(G10-E10)/E10*100</f>
        <v>#DIV/0!</v>
      </c>
      <c r="I10" s="4">
        <v>1</v>
      </c>
      <c r="J10" s="13"/>
      <c r="K10" s="51">
        <v>0</v>
      </c>
      <c r="L10" s="91" t="e">
        <f>(K10-E10)/E10*100</f>
        <v>#DIV/0!</v>
      </c>
      <c r="M10" s="4"/>
    </row>
    <row r="11" spans="1:17" ht="13.8" thickBot="1" x14ac:dyDescent="0.3">
      <c r="A11" s="21" t="str">
        <f>Saldobalance!B10</f>
        <v>Fællesindtægter i alt</v>
      </c>
      <c r="B11" s="37"/>
      <c r="C11" s="7">
        <f>SUM(C7:C10)</f>
        <v>-797967.39</v>
      </c>
      <c r="D11" s="37"/>
      <c r="E11" s="7">
        <f>Saldobalance!C10</f>
        <v>-828256</v>
      </c>
      <c r="F11" s="37"/>
      <c r="G11" s="7">
        <f>Saldobalance!D10</f>
        <v>-842449.24</v>
      </c>
      <c r="H11" s="110">
        <f>(G11-E11)/E11*100</f>
        <v>1.7136296024417561</v>
      </c>
      <c r="I11" s="4"/>
      <c r="J11" s="37"/>
      <c r="K11" s="108">
        <f>SUM(K7:K10)</f>
        <v>-826256</v>
      </c>
      <c r="L11" s="111">
        <f>(K11-E11)/E11*100</f>
        <v>-0.24147123594637407</v>
      </c>
      <c r="M11" s="4"/>
    </row>
    <row r="12" spans="1:17" x14ac:dyDescent="0.25">
      <c r="A12" s="12"/>
      <c r="B12" s="1"/>
      <c r="D12" s="1"/>
      <c r="F12" s="1"/>
      <c r="I12" s="4"/>
      <c r="J12" s="1"/>
      <c r="M12" s="4"/>
    </row>
    <row r="13" spans="1:17" ht="13.8" thickBot="1" x14ac:dyDescent="0.3">
      <c r="A13" s="12"/>
      <c r="B13" s="1"/>
      <c r="C13" s="17"/>
      <c r="D13" s="1"/>
      <c r="E13" s="17"/>
      <c r="F13" s="1"/>
      <c r="G13" s="17"/>
      <c r="H13" s="17"/>
      <c r="I13" s="4"/>
      <c r="J13" s="1"/>
      <c r="K13" s="17"/>
      <c r="L13" s="17"/>
      <c r="M13" s="4"/>
    </row>
    <row r="14" spans="1:17" x14ac:dyDescent="0.25">
      <c r="A14" s="23" t="s">
        <v>184</v>
      </c>
      <c r="B14" s="39"/>
      <c r="C14" s="24"/>
      <c r="D14" s="24"/>
      <c r="E14" s="24"/>
      <c r="F14" s="24"/>
      <c r="G14" s="24"/>
      <c r="H14" s="40"/>
      <c r="I14" s="4"/>
      <c r="J14" s="39"/>
      <c r="K14" s="24"/>
      <c r="L14" s="25"/>
      <c r="M14" s="4"/>
      <c r="N14" s="82" t="s">
        <v>228</v>
      </c>
      <c r="O14" s="82"/>
    </row>
    <row r="15" spans="1:17" x14ac:dyDescent="0.25">
      <c r="A15" s="18"/>
      <c r="B15" s="45" t="str">
        <f>$B$5</f>
        <v xml:space="preserve">Regnskab </v>
      </c>
      <c r="C15" s="46">
        <f>$C$5</f>
        <v>2011</v>
      </c>
      <c r="D15" s="45" t="str">
        <f>$D$5</f>
        <v xml:space="preserve">Budget </v>
      </c>
      <c r="E15" s="46">
        <f>$E$5</f>
        <v>2012</v>
      </c>
      <c r="F15" s="45" t="str">
        <f>$F$5</f>
        <v xml:space="preserve">Regnskab </v>
      </c>
      <c r="G15" s="46">
        <f>$G$5</f>
        <v>2012</v>
      </c>
      <c r="H15" s="46" t="str">
        <f>$H$5</f>
        <v xml:space="preserve">Difference </v>
      </c>
      <c r="I15" s="4"/>
      <c r="J15" s="45" t="str">
        <f>$J$5</f>
        <v xml:space="preserve">Budget </v>
      </c>
      <c r="K15" s="46">
        <f>$K$5</f>
        <v>2013</v>
      </c>
      <c r="L15" s="46" t="str">
        <f>$L$5</f>
        <v>Stigning</v>
      </c>
      <c r="M15" s="4"/>
      <c r="N15" s="82" t="s">
        <v>229</v>
      </c>
      <c r="O15" s="95">
        <f>K141</f>
        <v>123.58296169398818</v>
      </c>
    </row>
    <row r="16" spans="1:17" x14ac:dyDescent="0.25">
      <c r="A16" s="29" t="s">
        <v>3</v>
      </c>
      <c r="B16" s="32"/>
      <c r="C16" s="33"/>
      <c r="D16" s="32"/>
      <c r="E16" s="33"/>
      <c r="F16" s="32"/>
      <c r="G16" s="33"/>
      <c r="H16" s="91" t="s">
        <v>4</v>
      </c>
      <c r="I16" s="4"/>
      <c r="J16" s="32"/>
      <c r="K16" s="33"/>
      <c r="L16" s="91" t="s">
        <v>4</v>
      </c>
      <c r="M16" s="4"/>
      <c r="N16" s="83" t="s">
        <v>248</v>
      </c>
      <c r="O16" s="95">
        <f>-K79</f>
        <v>20168.660000000003</v>
      </c>
    </row>
    <row r="17" spans="1:17" x14ac:dyDescent="0.25">
      <c r="A17" s="19"/>
      <c r="B17" s="13"/>
      <c r="C17" s="6"/>
      <c r="D17" s="13"/>
      <c r="E17" s="6"/>
      <c r="F17" s="13"/>
      <c r="G17" s="6"/>
      <c r="H17" s="6"/>
      <c r="I17" s="4"/>
      <c r="J17" s="13"/>
      <c r="K17" s="6"/>
      <c r="L17" s="6"/>
      <c r="M17" s="4"/>
      <c r="N17" s="82"/>
      <c r="O17" s="95"/>
    </row>
    <row r="18" spans="1:17" x14ac:dyDescent="0.25">
      <c r="A18" s="35" t="str">
        <f>Saldobalance!B14</f>
        <v>Rep og vedligehold</v>
      </c>
      <c r="B18" s="13"/>
      <c r="C18" s="2">
        <v>182208.01</v>
      </c>
      <c r="D18" s="13"/>
      <c r="E18" s="2">
        <f>Saldobalance!C22</f>
        <v>110000</v>
      </c>
      <c r="F18" s="13"/>
      <c r="G18" s="2">
        <f>Saldobalance!D22</f>
        <v>94886.38</v>
      </c>
      <c r="H18" s="9">
        <f>(G18-E18)/E18*100</f>
        <v>-13.739654545454542</v>
      </c>
      <c r="I18" s="4"/>
      <c r="J18" s="13"/>
      <c r="K18" s="2">
        <f>SUM(J19:J25)</f>
        <v>139000</v>
      </c>
      <c r="L18" s="9">
        <f>(K18-E18)/E18*100</f>
        <v>26.36363636363636</v>
      </c>
      <c r="M18" s="4"/>
      <c r="N18" s="82" t="s">
        <v>230</v>
      </c>
      <c r="O18" s="95"/>
    </row>
    <row r="19" spans="1:17" x14ac:dyDescent="0.25">
      <c r="A19" s="10" t="str">
        <f>Saldobalance!B15</f>
        <v>Rep maskine og anlæg</v>
      </c>
      <c r="B19" s="10">
        <v>21845.09</v>
      </c>
      <c r="C19" s="11"/>
      <c r="D19" s="10">
        <f>Saldobalance!C15</f>
        <v>25000</v>
      </c>
      <c r="E19" s="11"/>
      <c r="F19" s="10">
        <f>Saldobalance!D15</f>
        <v>29373.1</v>
      </c>
      <c r="G19" s="11"/>
      <c r="H19" s="11"/>
      <c r="I19" s="4">
        <v>2</v>
      </c>
      <c r="J19" s="103">
        <v>25000</v>
      </c>
      <c r="K19" s="11"/>
      <c r="L19" s="11"/>
      <c r="M19" s="4"/>
      <c r="N19" s="83" t="s">
        <v>249</v>
      </c>
      <c r="O19" s="95">
        <f>O6+(-O15/(25*12))</f>
        <v>2591.5880567943532</v>
      </c>
    </row>
    <row r="20" spans="1:17" x14ac:dyDescent="0.25">
      <c r="A20" s="10" t="str">
        <f>Saldobalance!B16</f>
        <v>Rep og service Gasfyr</v>
      </c>
      <c r="B20" s="10">
        <v>21793.02</v>
      </c>
      <c r="C20" s="11"/>
      <c r="D20" s="10">
        <f>Saldobalance!C16</f>
        <v>20000</v>
      </c>
      <c r="E20" s="11"/>
      <c r="F20" s="10">
        <f>Saldobalance!D16</f>
        <v>37149.230000000003</v>
      </c>
      <c r="G20" s="11"/>
      <c r="H20" s="11"/>
      <c r="I20" s="4">
        <v>3</v>
      </c>
      <c r="J20" s="103">
        <v>20000</v>
      </c>
      <c r="K20" s="11"/>
      <c r="L20" s="11"/>
      <c r="M20" s="4"/>
      <c r="N20" s="83" t="s">
        <v>246</v>
      </c>
      <c r="O20" s="95">
        <f>O19-O6</f>
        <v>-0.4119432056468213</v>
      </c>
      <c r="P20" s="99"/>
      <c r="Q20" s="99"/>
    </row>
    <row r="21" spans="1:17" x14ac:dyDescent="0.25">
      <c r="A21" s="10" t="str">
        <f>Saldobalance!B17</f>
        <v>Rep. vaskeriet</v>
      </c>
      <c r="B21" s="86">
        <v>14777.76</v>
      </c>
      <c r="C21" s="87"/>
      <c r="D21" s="86">
        <f>Saldobalance!C17</f>
        <v>2000</v>
      </c>
      <c r="E21" s="87"/>
      <c r="F21" s="86">
        <f>Saldobalance!D17</f>
        <v>0</v>
      </c>
      <c r="G21" s="87"/>
      <c r="H21" s="87"/>
      <c r="I21" s="4"/>
      <c r="J21" s="104">
        <v>25000</v>
      </c>
      <c r="K21" s="11"/>
      <c r="L21" s="87"/>
      <c r="M21" s="4" t="s">
        <v>361</v>
      </c>
      <c r="P21" s="70"/>
      <c r="Q21" s="70"/>
    </row>
    <row r="22" spans="1:17" x14ac:dyDescent="0.25">
      <c r="A22" s="10" t="str">
        <f>Saldobalance!B18</f>
        <v>Indv. vedl. FÆ-hus</v>
      </c>
      <c r="B22" s="10">
        <v>1794.44</v>
      </c>
      <c r="C22" s="11"/>
      <c r="D22" s="10">
        <f>Saldobalance!C18</f>
        <v>6000</v>
      </c>
      <c r="E22" s="11"/>
      <c r="F22" s="10">
        <f>Saldobalance!D18</f>
        <v>3227.5</v>
      </c>
      <c r="G22" s="11"/>
      <c r="H22" s="11"/>
      <c r="I22" s="4"/>
      <c r="J22" s="103">
        <v>12000</v>
      </c>
      <c r="K22" s="11"/>
      <c r="L22" s="11"/>
      <c r="M22" s="4" t="s">
        <v>362</v>
      </c>
      <c r="P22" s="70"/>
      <c r="Q22" s="70"/>
    </row>
    <row r="23" spans="1:17" x14ac:dyDescent="0.25">
      <c r="A23" s="10" t="str">
        <f>Saldobalance!B19</f>
        <v>Udv. vedl. FÆ-hus</v>
      </c>
      <c r="B23" s="10">
        <v>0</v>
      </c>
      <c r="C23" s="11"/>
      <c r="D23" s="10">
        <f>Saldobalance!C19</f>
        <v>6000</v>
      </c>
      <c r="E23" s="11"/>
      <c r="F23" s="10">
        <f>Saldobalance!D19</f>
        <v>967.5</v>
      </c>
      <c r="G23" s="11"/>
      <c r="H23" s="11"/>
      <c r="I23" s="4"/>
      <c r="J23" s="103">
        <v>6000</v>
      </c>
      <c r="K23" s="11"/>
      <c r="L23" s="11"/>
      <c r="M23" s="4"/>
      <c r="P23" s="70"/>
      <c r="Q23" s="70"/>
    </row>
    <row r="24" spans="1:17" x14ac:dyDescent="0.25">
      <c r="A24" s="10" t="str">
        <f>Saldobalance!B20</f>
        <v>Vedl. fællesarealer</v>
      </c>
      <c r="B24" s="10">
        <v>121997.7</v>
      </c>
      <c r="C24" s="11"/>
      <c r="D24" s="10">
        <f>Saldobalance!C20</f>
        <v>30000</v>
      </c>
      <c r="E24" s="11"/>
      <c r="F24" s="10">
        <f>Saldobalance!D20</f>
        <v>24169.05</v>
      </c>
      <c r="G24" s="11"/>
      <c r="H24" s="11"/>
      <c r="I24" s="4"/>
      <c r="J24" s="103">
        <v>30000</v>
      </c>
      <c r="K24" s="11"/>
      <c r="L24" s="11"/>
      <c r="M24" s="4"/>
      <c r="P24" s="70"/>
      <c r="Q24" s="70"/>
    </row>
    <row r="25" spans="1:17" x14ac:dyDescent="0.25">
      <c r="A25" s="10" t="str">
        <f>Saldobalance!B21</f>
        <v>Snerydning</v>
      </c>
      <c r="B25" s="10">
        <v>0</v>
      </c>
      <c r="C25" s="11"/>
      <c r="D25" s="10">
        <f>Saldobalance!C21</f>
        <v>21000</v>
      </c>
      <c r="E25" s="11"/>
      <c r="F25" s="10">
        <f>Saldobalance!D21</f>
        <v>0</v>
      </c>
      <c r="G25" s="11"/>
      <c r="H25" s="11"/>
      <c r="I25" s="4">
        <v>4</v>
      </c>
      <c r="J25" s="103">
        <v>21000</v>
      </c>
      <c r="K25" s="11"/>
      <c r="L25" s="11"/>
      <c r="M25" s="4"/>
      <c r="N25" s="99"/>
      <c r="O25" s="70"/>
    </row>
    <row r="26" spans="1:17" x14ac:dyDescent="0.25">
      <c r="A26" s="19"/>
      <c r="B26" s="13"/>
      <c r="C26" s="6"/>
      <c r="D26" s="13"/>
      <c r="E26" s="6"/>
      <c r="F26" s="13"/>
      <c r="G26" s="6"/>
      <c r="H26" s="6"/>
      <c r="I26" s="4"/>
      <c r="J26" s="13"/>
      <c r="K26" s="6"/>
      <c r="L26" s="6"/>
      <c r="M26" s="4"/>
    </row>
    <row r="27" spans="1:17" x14ac:dyDescent="0.25">
      <c r="A27" s="35" t="str">
        <f>Saldobalance!B24</f>
        <v>Drift Fælleshus mv.</v>
      </c>
      <c r="B27" s="13"/>
      <c r="C27" s="2">
        <v>33146.43</v>
      </c>
      <c r="D27" s="13"/>
      <c r="E27" s="2">
        <f>Saldobalance!C32</f>
        <v>35700</v>
      </c>
      <c r="F27" s="13"/>
      <c r="G27" s="2">
        <f>Saldobalance!D32</f>
        <v>38044.480000000003</v>
      </c>
      <c r="H27" s="9">
        <f>(G27-E27)/E27*100</f>
        <v>6.5671708683473478</v>
      </c>
      <c r="I27" s="4"/>
      <c r="J27" s="13"/>
      <c r="K27" s="102">
        <f>SUM(J28:J34)</f>
        <v>44200</v>
      </c>
      <c r="L27" s="9">
        <f>(K27-E27)/E27*100</f>
        <v>23.809523809523807</v>
      </c>
      <c r="M27" s="4"/>
    </row>
    <row r="28" spans="1:17" x14ac:dyDescent="0.25">
      <c r="A28" s="10" t="str">
        <f>Saldobalance!B25</f>
        <v>Inventar</v>
      </c>
      <c r="B28" s="10">
        <v>3239.9</v>
      </c>
      <c r="C28" s="11"/>
      <c r="D28" s="10">
        <f>Saldobalance!C25</f>
        <v>1500</v>
      </c>
      <c r="E28" s="11"/>
      <c r="F28" s="10">
        <f>Saldobalance!D25</f>
        <v>974.95</v>
      </c>
      <c r="G28" s="11"/>
      <c r="H28" s="11"/>
      <c r="I28" s="4"/>
      <c r="J28" s="103">
        <v>2000</v>
      </c>
      <c r="K28" s="11"/>
      <c r="L28" s="11"/>
      <c r="M28" s="4"/>
    </row>
    <row r="29" spans="1:17" x14ac:dyDescent="0.25">
      <c r="A29" s="10" t="str">
        <f>Saldobalance!B26</f>
        <v>Køkkenudstyr</v>
      </c>
      <c r="B29" s="10">
        <v>9067.44</v>
      </c>
      <c r="C29" s="11"/>
      <c r="D29" s="10">
        <f>Saldobalance!C26</f>
        <v>9000</v>
      </c>
      <c r="E29" s="11"/>
      <c r="F29" s="10">
        <f>Saldobalance!D26</f>
        <v>5281.1</v>
      </c>
      <c r="G29" s="11"/>
      <c r="H29" s="11"/>
      <c r="I29" s="4"/>
      <c r="J29" s="103">
        <v>9000</v>
      </c>
      <c r="K29" s="11"/>
      <c r="L29" s="11"/>
      <c r="M29" s="4"/>
    </row>
    <row r="30" spans="1:17" x14ac:dyDescent="0.25">
      <c r="A30" s="10" t="str">
        <f>Saldobalance!B27</f>
        <v>EL-artik, pærer mv</v>
      </c>
      <c r="B30" s="10">
        <v>1034.4100000000001</v>
      </c>
      <c r="C30" s="11"/>
      <c r="D30" s="10">
        <f>Saldobalance!C27</f>
        <v>2000</v>
      </c>
      <c r="E30" s="11"/>
      <c r="F30" s="10">
        <f>Saldobalance!D27</f>
        <v>2660.45</v>
      </c>
      <c r="G30" s="11"/>
      <c r="H30" s="11"/>
      <c r="I30" s="4"/>
      <c r="J30" s="103">
        <v>3000</v>
      </c>
      <c r="K30" s="11"/>
      <c r="L30" s="11"/>
      <c r="M30" s="4"/>
    </row>
    <row r="31" spans="1:17" x14ac:dyDescent="0.25">
      <c r="A31" s="10" t="str">
        <f>Saldobalance!B28</f>
        <v>Rengøringsmidler/-artikler</v>
      </c>
      <c r="B31" s="10">
        <v>12434.16</v>
      </c>
      <c r="C31" s="11"/>
      <c r="D31" s="10">
        <f>Saldobalance!C28</f>
        <v>18000</v>
      </c>
      <c r="E31" s="11"/>
      <c r="F31" s="10">
        <f>Saldobalance!D28</f>
        <v>24747.9</v>
      </c>
      <c r="G31" s="11"/>
      <c r="H31" s="11"/>
      <c r="I31" s="4">
        <v>5</v>
      </c>
      <c r="J31" s="103">
        <v>25000</v>
      </c>
      <c r="K31" s="11"/>
      <c r="L31" s="11"/>
      <c r="M31" s="4" t="s">
        <v>363</v>
      </c>
    </row>
    <row r="32" spans="1:17" x14ac:dyDescent="0.25">
      <c r="A32" s="10" t="str">
        <f>Saldobalance!B29</f>
        <v>Lys, blomster</v>
      </c>
      <c r="B32" s="10">
        <v>5359.83</v>
      </c>
      <c r="C32" s="11"/>
      <c r="D32" s="10">
        <f>Saldobalance!C29</f>
        <v>1200</v>
      </c>
      <c r="E32" s="11"/>
      <c r="F32" s="10">
        <f>Saldobalance!D29</f>
        <v>1188</v>
      </c>
      <c r="G32" s="11"/>
      <c r="H32" s="11"/>
      <c r="I32" s="4"/>
      <c r="J32" s="103">
        <v>1200</v>
      </c>
      <c r="K32" s="11"/>
      <c r="L32" s="11"/>
      <c r="M32" s="4"/>
    </row>
    <row r="33" spans="1:13" x14ac:dyDescent="0.25">
      <c r="A33" s="10" t="str">
        <f>Saldobalance!B30</f>
        <v>Krydderier</v>
      </c>
      <c r="B33" s="10">
        <v>1310.69</v>
      </c>
      <c r="C33" s="11"/>
      <c r="D33" s="10">
        <f>Saldobalance!C30</f>
        <v>2000</v>
      </c>
      <c r="E33" s="11"/>
      <c r="F33" s="10">
        <f>Saldobalance!D30</f>
        <v>2577.08</v>
      </c>
      <c r="G33" s="11"/>
      <c r="H33" s="11"/>
      <c r="I33" s="4"/>
      <c r="J33" s="103">
        <v>2000</v>
      </c>
      <c r="K33" s="11"/>
      <c r="L33" s="11"/>
      <c r="M33" s="4"/>
    </row>
    <row r="34" spans="1:13" x14ac:dyDescent="0.25">
      <c r="A34" s="10" t="str">
        <f>Saldobalance!B31</f>
        <v>Diverse Fælleshus</v>
      </c>
      <c r="B34" s="10">
        <v>700</v>
      </c>
      <c r="C34" s="11"/>
      <c r="D34" s="10">
        <f>Saldobalance!C31</f>
        <v>2000</v>
      </c>
      <c r="E34" s="11"/>
      <c r="F34" s="10">
        <f>Saldobalance!D31</f>
        <v>615</v>
      </c>
      <c r="G34" s="11"/>
      <c r="H34" s="11"/>
      <c r="I34" s="4"/>
      <c r="J34" s="103">
        <v>2000</v>
      </c>
      <c r="K34" s="11"/>
      <c r="L34" s="11"/>
      <c r="M34" s="4"/>
    </row>
    <row r="35" spans="1:13" x14ac:dyDescent="0.25">
      <c r="A35" s="19"/>
      <c r="B35" s="13"/>
      <c r="C35" s="2"/>
      <c r="D35" s="13"/>
      <c r="E35" s="2"/>
      <c r="F35" s="13"/>
      <c r="G35" s="2"/>
      <c r="H35" s="2"/>
      <c r="I35" s="4"/>
      <c r="J35" s="13"/>
      <c r="K35" s="2"/>
      <c r="L35" s="2"/>
      <c r="M35" s="4"/>
    </row>
    <row r="36" spans="1:13" x14ac:dyDescent="0.25">
      <c r="A36" s="35" t="str">
        <f>Saldobalance!B34</f>
        <v>Arrang/kultur/gaver</v>
      </c>
      <c r="B36" s="13"/>
      <c r="C36" s="2">
        <v>60744.11</v>
      </c>
      <c r="D36" s="13"/>
      <c r="E36" s="2">
        <f>Saldobalance!C45</f>
        <v>53000</v>
      </c>
      <c r="F36" s="13"/>
      <c r="G36" s="2">
        <f>Saldobalance!D45</f>
        <v>45336.770000000004</v>
      </c>
      <c r="H36" s="9">
        <f>(G36-E36)/E36*100</f>
        <v>-14.458924528301878</v>
      </c>
      <c r="I36" s="4"/>
      <c r="J36" s="13"/>
      <c r="K36" s="102">
        <f>SUM(J37:J45)</f>
        <v>64000</v>
      </c>
      <c r="L36" s="9">
        <f>(K36-E36)/E36*100</f>
        <v>20.754716981132077</v>
      </c>
      <c r="M36" s="4"/>
    </row>
    <row r="37" spans="1:13" x14ac:dyDescent="0.25">
      <c r="A37" s="10" t="str">
        <f>Saldobalance!B35</f>
        <v>Gaver</v>
      </c>
      <c r="B37" s="10">
        <v>9117.5</v>
      </c>
      <c r="C37" s="11"/>
      <c r="D37" s="10">
        <f>Saldobalance!C35</f>
        <v>6000</v>
      </c>
      <c r="E37" s="11"/>
      <c r="F37" s="10">
        <f>Saldobalance!D35</f>
        <v>6365.9</v>
      </c>
      <c r="G37" s="11"/>
      <c r="H37" s="11"/>
      <c r="I37" s="4"/>
      <c r="J37" s="103">
        <v>10000</v>
      </c>
      <c r="K37" s="11"/>
      <c r="L37" s="11"/>
      <c r="M37" s="4" t="s">
        <v>364</v>
      </c>
    </row>
    <row r="38" spans="1:13" x14ac:dyDescent="0.25">
      <c r="A38" s="10" t="str">
        <f>Saldobalance!B36</f>
        <v>Fester/kultur</v>
      </c>
      <c r="B38" s="10">
        <v>1552</v>
      </c>
      <c r="C38" s="11"/>
      <c r="D38" s="10">
        <f>Saldobalance!C36</f>
        <v>4000</v>
      </c>
      <c r="E38" s="11"/>
      <c r="F38" s="10">
        <f>Saldobalance!D36</f>
        <v>1469.5</v>
      </c>
      <c r="G38" s="11"/>
      <c r="H38" s="11"/>
      <c r="I38" s="4"/>
      <c r="J38" s="103">
        <v>9000</v>
      </c>
      <c r="K38" s="11"/>
      <c r="L38" s="11"/>
      <c r="M38" s="4" t="s">
        <v>365</v>
      </c>
    </row>
    <row r="39" spans="1:13" x14ac:dyDescent="0.25">
      <c r="A39" s="10" t="str">
        <f>Saldobalance!B37</f>
        <v>Fortæring arbejdsweekends</v>
      </c>
      <c r="B39" s="10">
        <v>12949.7</v>
      </c>
      <c r="C39" s="11"/>
      <c r="D39" s="10">
        <f>Saldobalance!C37</f>
        <v>8000</v>
      </c>
      <c r="E39" s="11"/>
      <c r="F39" s="10">
        <f>Saldobalance!D37</f>
        <v>9438.83</v>
      </c>
      <c r="G39" s="11"/>
      <c r="H39" s="11"/>
      <c r="I39" s="4"/>
      <c r="J39" s="103">
        <v>10000</v>
      </c>
      <c r="K39" s="11"/>
      <c r="L39" s="11"/>
      <c r="M39" s="4" t="s">
        <v>366</v>
      </c>
    </row>
    <row r="40" spans="1:13" x14ac:dyDescent="0.25">
      <c r="A40" s="10" t="str">
        <f>Saldobalance!B38</f>
        <v>Fortæring generalforsamling</v>
      </c>
      <c r="B40" s="10">
        <v>2041</v>
      </c>
      <c r="C40" s="11"/>
      <c r="D40" s="10">
        <f>Saldobalance!C38</f>
        <v>2000</v>
      </c>
      <c r="E40" s="11"/>
      <c r="F40" s="10">
        <f>Saldobalance!D38</f>
        <v>2053.42</v>
      </c>
      <c r="G40" s="11"/>
      <c r="H40" s="11"/>
      <c r="I40" s="4"/>
      <c r="J40" s="103">
        <v>2000</v>
      </c>
      <c r="K40" s="11"/>
      <c r="L40" s="11"/>
      <c r="M40" s="4"/>
    </row>
    <row r="41" spans="1:13" x14ac:dyDescent="0.25">
      <c r="A41" s="10" t="str">
        <f>Saldobalance!B39</f>
        <v>Adventsarrangementer</v>
      </c>
      <c r="B41" s="10">
        <v>3387.66</v>
      </c>
      <c r="C41" s="11"/>
      <c r="D41" s="10">
        <f>Saldobalance!C39</f>
        <v>4000</v>
      </c>
      <c r="E41" s="11"/>
      <c r="F41" s="10">
        <f>Saldobalance!D39</f>
        <v>3373.22</v>
      </c>
      <c r="G41" s="11"/>
      <c r="H41" s="11"/>
      <c r="I41" s="4"/>
      <c r="J41" s="103">
        <v>4000</v>
      </c>
      <c r="K41" s="11"/>
      <c r="L41" s="11"/>
      <c r="M41" s="4"/>
    </row>
    <row r="42" spans="1:13" x14ac:dyDescent="0.25">
      <c r="A42" s="10" t="str">
        <f>Saldobalance!B40</f>
        <v>Fastelavn</v>
      </c>
      <c r="B42" s="10">
        <v>2204</v>
      </c>
      <c r="C42" s="11"/>
      <c r="D42" s="10">
        <f>Saldobalance!C40</f>
        <v>2000</v>
      </c>
      <c r="E42" s="11"/>
      <c r="F42" s="10">
        <f>Saldobalance!D40</f>
        <v>1701.5</v>
      </c>
      <c r="G42" s="11"/>
      <c r="H42" s="11"/>
      <c r="I42" s="4"/>
      <c r="J42" s="103">
        <v>2000</v>
      </c>
      <c r="K42" s="11"/>
      <c r="L42" s="11"/>
      <c r="M42" s="4"/>
    </row>
    <row r="43" spans="1:13" x14ac:dyDescent="0.25">
      <c r="A43" s="10" t="str">
        <f>Saldobalance!B41</f>
        <v>Cafemøder</v>
      </c>
      <c r="B43" s="10">
        <v>0</v>
      </c>
      <c r="C43" s="11"/>
      <c r="D43" s="10">
        <f>Saldobalance!C41</f>
        <v>1000</v>
      </c>
      <c r="E43" s="11"/>
      <c r="F43" s="10">
        <f>Saldobalance!D41</f>
        <v>797.9</v>
      </c>
      <c r="G43" s="11"/>
      <c r="H43" s="11"/>
      <c r="I43" s="4"/>
      <c r="J43" s="103">
        <v>1000</v>
      </c>
      <c r="K43" s="11"/>
      <c r="L43" s="11"/>
      <c r="M43" s="4"/>
    </row>
    <row r="44" spans="1:13" x14ac:dyDescent="0.25">
      <c r="A44" s="10" t="str">
        <f>Saldobalance!B42</f>
        <v>Bakkeweekend</v>
      </c>
      <c r="B44" s="10">
        <v>27883.25</v>
      </c>
      <c r="C44" s="11"/>
      <c r="D44" s="10">
        <f>Saldobalance!C42</f>
        <v>25000</v>
      </c>
      <c r="E44" s="11"/>
      <c r="F44" s="10">
        <f>Saldobalance!D42</f>
        <v>19506.5</v>
      </c>
      <c r="G44" s="11"/>
      <c r="H44" s="11"/>
      <c r="I44" s="4"/>
      <c r="J44" s="103">
        <v>25000</v>
      </c>
      <c r="K44" s="11"/>
      <c r="L44" s="11"/>
      <c r="M44" s="4"/>
    </row>
    <row r="45" spans="1:13" x14ac:dyDescent="0.25">
      <c r="A45" s="10" t="str">
        <f>Saldobalance!B43</f>
        <v>Skt. Hans</v>
      </c>
      <c r="B45" s="10">
        <v>534</v>
      </c>
      <c r="C45" s="11"/>
      <c r="D45" s="10">
        <f>Saldobalance!C43</f>
        <v>1000</v>
      </c>
      <c r="E45" s="11"/>
      <c r="F45" s="10">
        <f>Saldobalance!D43</f>
        <v>630</v>
      </c>
      <c r="G45" s="11"/>
      <c r="H45" s="11"/>
      <c r="I45" s="4"/>
      <c r="J45" s="103">
        <v>1000</v>
      </c>
      <c r="K45" s="11"/>
      <c r="L45" s="11"/>
      <c r="M45" s="4"/>
    </row>
    <row r="46" spans="1:13" x14ac:dyDescent="0.25">
      <c r="A46" s="34"/>
      <c r="B46" s="34"/>
      <c r="C46" s="36"/>
      <c r="D46" s="34"/>
      <c r="E46" s="36"/>
      <c r="F46" s="34"/>
      <c r="G46" s="36"/>
      <c r="H46" s="36"/>
      <c r="I46" s="4"/>
      <c r="J46" s="34"/>
      <c r="K46" s="36"/>
      <c r="L46" s="36"/>
      <c r="M46" s="4"/>
    </row>
    <row r="47" spans="1:13" x14ac:dyDescent="0.25">
      <c r="A47" s="35" t="str">
        <f>Saldobalance!B47</f>
        <v>Informationsteknologi</v>
      </c>
      <c r="B47" s="13"/>
      <c r="C47" s="2">
        <v>10365.73</v>
      </c>
      <c r="D47" s="13"/>
      <c r="E47" s="2">
        <f>Saldobalance!C52</f>
        <v>11000</v>
      </c>
      <c r="F47" s="13"/>
      <c r="G47" s="2">
        <f>Saldobalance!D52</f>
        <v>9904.58</v>
      </c>
      <c r="H47" s="9">
        <f>(G47-E47)/E47*100</f>
        <v>-9.9583636363636376</v>
      </c>
      <c r="I47" s="4"/>
      <c r="J47" s="13"/>
      <c r="K47" s="102">
        <f>SUM(J48:J51)</f>
        <v>12000</v>
      </c>
      <c r="L47" s="9">
        <f>(K47-E47)/E47*100</f>
        <v>9.0909090909090917</v>
      </c>
      <c r="M47" s="4"/>
    </row>
    <row r="48" spans="1:13" x14ac:dyDescent="0.25">
      <c r="A48" s="10" t="str">
        <f>Saldobalance!B48</f>
        <v>Telefon / bredbånd</v>
      </c>
      <c r="B48" s="10">
        <v>3647.81</v>
      </c>
      <c r="C48" s="11"/>
      <c r="D48" s="10">
        <f>Saldobalance!C48</f>
        <v>4000</v>
      </c>
      <c r="E48" s="11"/>
      <c r="F48" s="10">
        <f>Saldobalance!D48</f>
        <v>3911.08</v>
      </c>
      <c r="G48" s="11"/>
      <c r="H48" s="11"/>
      <c r="I48" s="4"/>
      <c r="J48" s="103">
        <v>4000</v>
      </c>
      <c r="K48" s="11"/>
      <c r="L48" s="11"/>
      <c r="M48" s="4"/>
    </row>
    <row r="49" spans="1:13" x14ac:dyDescent="0.25">
      <c r="A49" s="10" t="str">
        <f>Saldobalance!B49</f>
        <v>TV + licens</v>
      </c>
      <c r="B49" s="10">
        <v>4586.7</v>
      </c>
      <c r="C49" s="11"/>
      <c r="D49" s="10">
        <f>Saldobalance!C49</f>
        <v>5000</v>
      </c>
      <c r="E49" s="11"/>
      <c r="F49" s="10">
        <f>Saldobalance!D49</f>
        <v>4907</v>
      </c>
      <c r="G49" s="11"/>
      <c r="H49" s="11"/>
      <c r="I49" s="4"/>
      <c r="J49" s="103">
        <v>5000</v>
      </c>
      <c r="K49" s="11"/>
      <c r="L49" s="11"/>
      <c r="M49" s="4"/>
    </row>
    <row r="50" spans="1:13" x14ac:dyDescent="0.25">
      <c r="A50" s="10" t="str">
        <f>Saldobalance!B50</f>
        <v>Hjemmeside/e-mail</v>
      </c>
      <c r="B50" s="10">
        <v>1537.22</v>
      </c>
      <c r="C50" s="11"/>
      <c r="D50" s="10">
        <f>Saldobalance!C50</f>
        <v>1000</v>
      </c>
      <c r="E50" s="11"/>
      <c r="F50" s="10">
        <f>Saldobalance!D50</f>
        <v>467.5</v>
      </c>
      <c r="G50" s="11"/>
      <c r="H50" s="11"/>
      <c r="I50" s="4"/>
      <c r="J50" s="103">
        <v>2000</v>
      </c>
      <c r="K50" s="11"/>
      <c r="L50" s="11"/>
      <c r="M50" s="4" t="s">
        <v>367</v>
      </c>
    </row>
    <row r="51" spans="1:13" x14ac:dyDescent="0.25">
      <c r="A51" s="10" t="str">
        <f>Saldobalance!B51</f>
        <v>Aviser og tidsskrifter</v>
      </c>
      <c r="B51" s="10">
        <v>594</v>
      </c>
      <c r="C51" s="11"/>
      <c r="D51" s="10">
        <f>Saldobalance!C51</f>
        <v>1000</v>
      </c>
      <c r="E51" s="11"/>
      <c r="F51" s="10">
        <f>Saldobalance!D51</f>
        <v>619</v>
      </c>
      <c r="G51" s="11"/>
      <c r="H51" s="11"/>
      <c r="I51" s="4"/>
      <c r="J51" s="103">
        <v>1000</v>
      </c>
      <c r="K51" s="11"/>
      <c r="L51" s="11"/>
      <c r="M51" s="4"/>
    </row>
    <row r="52" spans="1:13" x14ac:dyDescent="0.25">
      <c r="A52" s="34"/>
      <c r="B52" s="34"/>
      <c r="C52" s="36"/>
      <c r="D52" s="34"/>
      <c r="E52" s="36"/>
      <c r="F52" s="34"/>
      <c r="G52" s="36"/>
      <c r="H52" s="36"/>
      <c r="I52" s="4"/>
      <c r="J52" s="34"/>
      <c r="K52" s="36"/>
      <c r="L52" s="36"/>
      <c r="M52" s="4"/>
    </row>
    <row r="53" spans="1:13" x14ac:dyDescent="0.25">
      <c r="A53" s="35" t="str">
        <f>Saldobalance!B54</f>
        <v>Projekter</v>
      </c>
      <c r="B53" s="13"/>
      <c r="C53" s="5">
        <v>103929.48</v>
      </c>
      <c r="D53" s="13"/>
      <c r="E53" s="2">
        <f>Saldobalance!C61</f>
        <v>60000</v>
      </c>
      <c r="F53" s="13"/>
      <c r="G53" s="2">
        <f>Saldobalance!D61</f>
        <v>87528.9</v>
      </c>
      <c r="H53" s="9">
        <f>(G53-E53)/E53*100</f>
        <v>45.881499999999988</v>
      </c>
      <c r="I53" s="4">
        <v>6</v>
      </c>
      <c r="J53" s="13"/>
      <c r="K53" s="105">
        <f>SUM(J54:J66)</f>
        <v>64000</v>
      </c>
      <c r="L53" s="9">
        <f>(K53-E53)/E53*100</f>
        <v>6.666666666666667</v>
      </c>
      <c r="M53" s="4"/>
    </row>
    <row r="54" spans="1:13" x14ac:dyDescent="0.25">
      <c r="A54" s="10" t="str">
        <f>Saldobalance!B55</f>
        <v>Asfalt</v>
      </c>
      <c r="B54" s="10">
        <v>0</v>
      </c>
      <c r="C54" s="11"/>
      <c r="D54" s="10">
        <f>Saldobalance!C55</f>
        <v>0</v>
      </c>
      <c r="E54" s="11"/>
      <c r="F54" s="10">
        <v>9888.75</v>
      </c>
      <c r="G54" s="11"/>
      <c r="H54" s="11"/>
      <c r="I54" s="4"/>
      <c r="J54" s="103">
        <v>16000</v>
      </c>
      <c r="K54" s="11"/>
      <c r="L54" s="11"/>
      <c r="M54" s="4" t="s">
        <v>368</v>
      </c>
    </row>
    <row r="55" spans="1:13" x14ac:dyDescent="0.25">
      <c r="A55" s="10" t="s">
        <v>389</v>
      </c>
      <c r="B55" s="10"/>
      <c r="C55" s="11"/>
      <c r="D55" s="10"/>
      <c r="E55" s="11"/>
      <c r="F55" s="10"/>
      <c r="G55" s="11"/>
      <c r="H55" s="11"/>
      <c r="I55" s="4"/>
      <c r="J55" s="103">
        <v>10000</v>
      </c>
      <c r="K55" s="11"/>
      <c r="L55" s="11"/>
      <c r="M55" s="4"/>
    </row>
    <row r="56" spans="1:13" x14ac:dyDescent="0.25">
      <c r="A56" s="10" t="s">
        <v>390</v>
      </c>
      <c r="B56" s="10"/>
      <c r="C56" s="11"/>
      <c r="D56" s="10"/>
      <c r="E56" s="11"/>
      <c r="F56" s="10"/>
      <c r="G56" s="11"/>
      <c r="H56" s="11"/>
      <c r="I56" s="4"/>
      <c r="J56" s="103">
        <v>36000</v>
      </c>
      <c r="K56" s="11"/>
      <c r="L56" s="11"/>
      <c r="M56" s="4"/>
    </row>
    <row r="57" spans="1:13" x14ac:dyDescent="0.25">
      <c r="A57" s="10" t="str">
        <f>Saldobalance!B58</f>
        <v>Fælleshustorvet</v>
      </c>
      <c r="B57" s="10">
        <v>0</v>
      </c>
      <c r="C57" s="11"/>
      <c r="D57" s="10">
        <f>Saldobalance!C58</f>
        <v>0</v>
      </c>
      <c r="E57" s="11"/>
      <c r="F57" s="10"/>
      <c r="G57" s="11"/>
      <c r="H57" s="11"/>
      <c r="I57" s="4"/>
      <c r="J57" s="103">
        <v>0</v>
      </c>
      <c r="K57" s="11"/>
      <c r="L57" s="11"/>
      <c r="M57" s="4"/>
    </row>
    <row r="58" spans="1:13" x14ac:dyDescent="0.25">
      <c r="A58" s="10" t="str">
        <f>Saldobalance!B57</f>
        <v>Kolbøtten</v>
      </c>
      <c r="B58" s="10">
        <v>0</v>
      </c>
      <c r="C58" s="11"/>
      <c r="D58" s="10">
        <f>Saldobalance!C57</f>
        <v>0</v>
      </c>
      <c r="E58" s="11"/>
      <c r="F58" s="10"/>
      <c r="G58" s="11"/>
      <c r="H58" s="11"/>
      <c r="I58" s="4"/>
      <c r="J58" s="103">
        <v>70000</v>
      </c>
      <c r="K58" s="11"/>
      <c r="L58" s="11"/>
      <c r="M58" s="4"/>
    </row>
    <row r="59" spans="1:13" x14ac:dyDescent="0.25">
      <c r="A59" s="10" t="s">
        <v>393</v>
      </c>
      <c r="B59" s="10"/>
      <c r="C59" s="11"/>
      <c r="D59" s="10"/>
      <c r="E59" s="11"/>
      <c r="F59" s="10"/>
      <c r="G59" s="11"/>
      <c r="H59" s="11"/>
      <c r="I59" s="4"/>
      <c r="J59" s="103">
        <v>20000</v>
      </c>
      <c r="K59" s="11"/>
      <c r="L59" s="11"/>
      <c r="M59" s="4" t="s">
        <v>369</v>
      </c>
    </row>
    <row r="60" spans="1:13" x14ac:dyDescent="0.25">
      <c r="A60" s="10" t="s">
        <v>391</v>
      </c>
      <c r="B60" s="10"/>
      <c r="C60" s="11"/>
      <c r="D60" s="10"/>
      <c r="E60" s="11"/>
      <c r="F60" s="10"/>
      <c r="G60" s="11"/>
      <c r="H60" s="11"/>
      <c r="I60" s="4"/>
      <c r="J60" s="103">
        <v>0</v>
      </c>
      <c r="K60" s="11"/>
      <c r="L60" s="11"/>
      <c r="M60" s="4"/>
    </row>
    <row r="61" spans="1:13" x14ac:dyDescent="0.25">
      <c r="A61" s="10" t="s">
        <v>385</v>
      </c>
      <c r="B61" s="10">
        <v>0</v>
      </c>
      <c r="C61" s="11"/>
      <c r="D61" s="10">
        <v>27000</v>
      </c>
      <c r="E61" s="11"/>
      <c r="F61" s="10">
        <v>62730</v>
      </c>
      <c r="G61" s="11"/>
      <c r="H61" s="11"/>
      <c r="I61" s="4"/>
      <c r="J61" s="103"/>
      <c r="K61" s="11"/>
      <c r="L61" s="11"/>
      <c r="M61" s="4"/>
    </row>
    <row r="62" spans="1:13" x14ac:dyDescent="0.25">
      <c r="A62" s="10" t="str">
        <f>Saldobalance!B56</f>
        <v>Salg af Gården</v>
      </c>
      <c r="B62" s="10">
        <v>0</v>
      </c>
      <c r="C62" s="11"/>
      <c r="D62" s="10">
        <f>Saldobalance!C56</f>
        <v>0</v>
      </c>
      <c r="E62" s="11"/>
      <c r="F62" s="10"/>
      <c r="G62" s="11"/>
      <c r="H62" s="11"/>
      <c r="I62" s="4"/>
      <c r="J62" s="103">
        <v>5000</v>
      </c>
      <c r="K62" s="11"/>
      <c r="L62" s="11"/>
      <c r="M62" s="4" t="s">
        <v>370</v>
      </c>
    </row>
    <row r="63" spans="1:13" x14ac:dyDescent="0.25">
      <c r="A63" s="10" t="str">
        <f>Saldobalance!B59</f>
        <v>Svællemuren</v>
      </c>
      <c r="B63" s="10">
        <v>0</v>
      </c>
      <c r="C63" s="11"/>
      <c r="D63" s="10">
        <f>Saldobalance!C59</f>
        <v>0</v>
      </c>
      <c r="E63" s="11"/>
      <c r="F63" s="10"/>
      <c r="G63" s="11"/>
      <c r="H63" s="11"/>
      <c r="I63" s="4"/>
      <c r="J63" s="103">
        <v>0</v>
      </c>
      <c r="K63" s="11"/>
      <c r="L63" s="11"/>
      <c r="M63" s="4"/>
    </row>
    <row r="64" spans="1:13" x14ac:dyDescent="0.25">
      <c r="A64" s="10" t="s">
        <v>392</v>
      </c>
      <c r="B64" s="10"/>
      <c r="C64" s="11"/>
      <c r="D64" s="10"/>
      <c r="E64" s="11"/>
      <c r="F64" s="10"/>
      <c r="G64" s="11"/>
      <c r="H64" s="11"/>
      <c r="I64" s="4"/>
      <c r="J64" s="103">
        <v>0</v>
      </c>
      <c r="K64" s="11"/>
      <c r="L64" s="11"/>
      <c r="M64" s="4"/>
    </row>
    <row r="65" spans="1:13" x14ac:dyDescent="0.25">
      <c r="A65" s="10" t="s">
        <v>386</v>
      </c>
      <c r="B65" s="10">
        <v>0</v>
      </c>
      <c r="C65" s="11"/>
      <c r="D65" s="10">
        <v>15000</v>
      </c>
      <c r="E65" s="11"/>
      <c r="F65" s="10">
        <v>14910</v>
      </c>
      <c r="G65" s="11"/>
      <c r="H65" s="11"/>
      <c r="I65" s="4"/>
      <c r="J65" s="103"/>
      <c r="K65" s="11"/>
      <c r="L65" s="11"/>
      <c r="M65" s="4"/>
    </row>
    <row r="66" spans="1:13" x14ac:dyDescent="0.25">
      <c r="A66" s="10" t="str">
        <f>Saldobalance!B60</f>
        <v>Uspecificerede projekter</v>
      </c>
      <c r="B66" s="10">
        <v>103929</v>
      </c>
      <c r="C66" s="11"/>
      <c r="D66" s="10">
        <v>18000</v>
      </c>
      <c r="E66" s="11"/>
      <c r="F66" s="10"/>
      <c r="G66" s="11"/>
      <c r="H66" s="11"/>
      <c r="I66" s="4"/>
      <c r="J66" s="103">
        <v>-93000</v>
      </c>
      <c r="K66" s="11"/>
      <c r="L66" s="11"/>
      <c r="M66" s="4" t="s">
        <v>371</v>
      </c>
    </row>
    <row r="67" spans="1:13" x14ac:dyDescent="0.25">
      <c r="A67" s="19"/>
      <c r="B67" s="13"/>
      <c r="C67" s="5"/>
      <c r="D67" s="13"/>
      <c r="E67" s="2"/>
      <c r="F67" s="13"/>
      <c r="G67" s="2"/>
      <c r="H67" s="2"/>
      <c r="I67" s="4"/>
      <c r="J67" s="13"/>
      <c r="K67" s="2"/>
      <c r="L67" s="2"/>
      <c r="M67" s="4"/>
    </row>
    <row r="68" spans="1:13" x14ac:dyDescent="0.25">
      <c r="A68" s="35" t="str">
        <f>Saldobalance!B62</f>
        <v>Nyanskaffelse</v>
      </c>
      <c r="B68" s="13"/>
      <c r="C68" s="5">
        <v>4143.5</v>
      </c>
      <c r="D68" s="13"/>
      <c r="E68" s="2">
        <f>Saldobalance!C62</f>
        <v>15000</v>
      </c>
      <c r="F68" s="13"/>
      <c r="G68" s="2">
        <f>Saldobalance!D62</f>
        <v>13614.4</v>
      </c>
      <c r="H68" s="9">
        <f>(G68-E68)/E68*100</f>
        <v>-9.2373333333333356</v>
      </c>
      <c r="I68" s="4"/>
      <c r="J68" s="13"/>
      <c r="K68" s="105">
        <v>15000</v>
      </c>
      <c r="L68" s="9">
        <f>(K68-E68)/E68*100</f>
        <v>0</v>
      </c>
      <c r="M68" s="4"/>
    </row>
    <row r="69" spans="1:13" x14ac:dyDescent="0.25">
      <c r="A69" s="35"/>
      <c r="B69" s="13"/>
      <c r="C69" s="5"/>
      <c r="D69" s="13"/>
      <c r="E69" s="2"/>
      <c r="F69" s="13"/>
      <c r="G69" s="2"/>
      <c r="H69" s="9"/>
      <c r="I69" s="4"/>
      <c r="J69" s="13"/>
      <c r="K69" s="2"/>
      <c r="L69" s="9"/>
      <c r="M69" s="4"/>
    </row>
    <row r="70" spans="1:13" x14ac:dyDescent="0.25">
      <c r="A70" s="35" t="str">
        <f>Saldobalance!B63</f>
        <v>Markedsføring</v>
      </c>
      <c r="B70" s="13"/>
      <c r="C70" s="5">
        <v>0</v>
      </c>
      <c r="D70" s="13"/>
      <c r="E70" s="2">
        <f>Saldobalance!C63</f>
        <v>15000</v>
      </c>
      <c r="F70" s="13"/>
      <c r="G70" s="2">
        <f>Saldobalance!D63</f>
        <v>6979</v>
      </c>
      <c r="H70" s="9">
        <f>(G70-E70)/E70*100</f>
        <v>-53.473333333333329</v>
      </c>
      <c r="I70" s="4">
        <v>7</v>
      </c>
      <c r="J70" s="13"/>
      <c r="K70" s="105">
        <v>3000</v>
      </c>
      <c r="L70" s="9">
        <f>(K70-E70)/E70*100</f>
        <v>-80</v>
      </c>
      <c r="M70" s="4" t="s">
        <v>372</v>
      </c>
    </row>
    <row r="71" spans="1:13" x14ac:dyDescent="0.25">
      <c r="A71" s="35"/>
      <c r="B71" s="13"/>
      <c r="C71" s="5"/>
      <c r="D71" s="13"/>
      <c r="E71" s="2"/>
      <c r="F71" s="13"/>
      <c r="G71" s="2"/>
      <c r="H71" s="9"/>
      <c r="I71" s="4"/>
      <c r="J71" s="13"/>
      <c r="K71" s="2"/>
      <c r="L71" s="9"/>
      <c r="M71" s="4"/>
    </row>
    <row r="72" spans="1:13" x14ac:dyDescent="0.25">
      <c r="A72" s="35" t="str">
        <f>Saldobalance!B65</f>
        <v>Får</v>
      </c>
      <c r="B72" s="13"/>
      <c r="C72" s="5">
        <v>0</v>
      </c>
      <c r="D72" s="13"/>
      <c r="E72" s="2">
        <f>Saldobalance!C71</f>
        <v>8000</v>
      </c>
      <c r="F72" s="13"/>
      <c r="G72" s="2">
        <f>Saldobalance!D71</f>
        <v>3502.5599999999972</v>
      </c>
      <c r="H72" s="9">
        <f>(G72-E72)/E72*100</f>
        <v>-56.218000000000032</v>
      </c>
      <c r="I72" s="4">
        <v>8</v>
      </c>
      <c r="J72" s="13"/>
      <c r="K72" s="102">
        <f>K73+SUM(J74:J77)</f>
        <v>14000</v>
      </c>
      <c r="L72" s="9">
        <f>(K72-E72)/E72*100</f>
        <v>75</v>
      </c>
      <c r="M72" s="4" t="s">
        <v>374</v>
      </c>
    </row>
    <row r="73" spans="1:13" x14ac:dyDescent="0.25">
      <c r="A73" s="10" t="str">
        <f>Saldobalance!B66</f>
        <v>Salg af fåreprodukter (Brutto)</v>
      </c>
      <c r="B73" s="10"/>
      <c r="C73" s="85">
        <v>0</v>
      </c>
      <c r="D73" s="86"/>
      <c r="E73" s="87">
        <f>Saldobalance!C66</f>
        <v>-27000</v>
      </c>
      <c r="F73" s="10"/>
      <c r="G73" s="87">
        <f>Saldobalance!D66</f>
        <v>-28909.65</v>
      </c>
      <c r="H73" s="11"/>
      <c r="I73" s="4"/>
      <c r="J73" s="10"/>
      <c r="K73" s="106">
        <v>-22000</v>
      </c>
      <c r="L73" s="11"/>
      <c r="M73" s="4"/>
    </row>
    <row r="74" spans="1:13" x14ac:dyDescent="0.25">
      <c r="A74" s="10" t="str">
        <f>Saldobalance!B67</f>
        <v>Rabat på fåreprodukter</v>
      </c>
      <c r="B74" s="10"/>
      <c r="C74" s="85">
        <v>0</v>
      </c>
      <c r="D74" s="86">
        <f>Saldobalance!C67</f>
        <v>0</v>
      </c>
      <c r="E74" s="87"/>
      <c r="F74" s="10">
        <f>Saldobalance!D67</f>
        <v>0</v>
      </c>
      <c r="G74" s="87"/>
      <c r="H74" s="11"/>
      <c r="I74" s="4"/>
      <c r="J74" s="10">
        <v>2000</v>
      </c>
      <c r="K74" s="106"/>
      <c r="L74" s="11"/>
      <c r="M74" s="4" t="s">
        <v>375</v>
      </c>
    </row>
    <row r="75" spans="1:13" x14ac:dyDescent="0.25">
      <c r="A75" s="10" t="str">
        <f>Saldobalance!B68</f>
        <v>Løbende udgifter/får</v>
      </c>
      <c r="B75" s="10">
        <v>0</v>
      </c>
      <c r="C75" s="11"/>
      <c r="D75" s="10">
        <f>Saldobalance!C68</f>
        <v>26000</v>
      </c>
      <c r="E75" s="11"/>
      <c r="F75" s="10">
        <f>Saldobalance!D68</f>
        <v>25678.85</v>
      </c>
      <c r="G75" s="11"/>
      <c r="H75" s="11"/>
      <c r="I75" s="4"/>
      <c r="J75" s="103">
        <v>26000</v>
      </c>
      <c r="K75" s="11"/>
      <c r="L75" s="11"/>
      <c r="M75" s="4"/>
    </row>
    <row r="76" spans="1:13" x14ac:dyDescent="0.25">
      <c r="A76" s="10" t="str">
        <f>Saldobalance!B69</f>
        <v>Engangsudgifter/får</v>
      </c>
      <c r="B76" s="10">
        <v>0</v>
      </c>
      <c r="C76" s="11"/>
      <c r="D76" s="10">
        <f>Saldobalance!C69</f>
        <v>4000</v>
      </c>
      <c r="E76" s="11"/>
      <c r="F76" s="10">
        <f>Saldobalance!D69</f>
        <v>4042.75</v>
      </c>
      <c r="G76" s="11"/>
      <c r="H76" s="11"/>
      <c r="I76" s="4"/>
      <c r="J76" s="103">
        <v>6000</v>
      </c>
      <c r="K76" s="11"/>
      <c r="L76" s="11"/>
      <c r="M76" s="4" t="s">
        <v>376</v>
      </c>
    </row>
    <row r="77" spans="1:13" x14ac:dyDescent="0.25">
      <c r="A77" s="10" t="str">
        <f>Saldobalance!B70</f>
        <v>Årets udvikling/får</v>
      </c>
      <c r="B77" s="10">
        <v>0</v>
      </c>
      <c r="C77" s="11"/>
      <c r="D77" s="10">
        <f>Saldobalance!C70</f>
        <v>5000</v>
      </c>
      <c r="E77" s="11"/>
      <c r="F77" s="10">
        <f>Saldobalance!D70</f>
        <v>2690.61</v>
      </c>
      <c r="G77" s="11"/>
      <c r="H77" s="11"/>
      <c r="I77" s="4"/>
      <c r="J77" s="103">
        <v>2000</v>
      </c>
      <c r="K77" s="11"/>
      <c r="L77" s="11"/>
      <c r="M77" s="4"/>
    </row>
    <row r="78" spans="1:13" x14ac:dyDescent="0.25">
      <c r="A78" s="35"/>
      <c r="B78" s="13"/>
      <c r="C78" s="36"/>
      <c r="D78" s="13"/>
      <c r="E78" s="36"/>
      <c r="F78" s="13"/>
      <c r="G78" s="36"/>
      <c r="H78" s="36"/>
      <c r="I78" s="4"/>
      <c r="J78" s="13"/>
      <c r="K78" s="36"/>
      <c r="L78" s="36"/>
      <c r="M78" s="4"/>
    </row>
    <row r="79" spans="1:13" x14ac:dyDescent="0.25">
      <c r="A79" s="35" t="str">
        <f>Saldobalance!B73</f>
        <v>Gården</v>
      </c>
      <c r="B79" s="13"/>
      <c r="C79" s="5">
        <v>-30071.23</v>
      </c>
      <c r="D79" s="13"/>
      <c r="E79" s="2">
        <f>Saldobalance!C84</f>
        <v>-12705.660000000003</v>
      </c>
      <c r="F79" s="13"/>
      <c r="G79" s="2">
        <f>Saldobalance!D84</f>
        <v>-30990.150000000009</v>
      </c>
      <c r="H79" s="9">
        <f>(G79-E79)/E79*100</f>
        <v>143.90822672730107</v>
      </c>
      <c r="I79" s="4">
        <v>9</v>
      </c>
      <c r="J79" s="13"/>
      <c r="K79" s="102">
        <f>K80+K81+SUM(J82:J88)</f>
        <v>-20168.660000000003</v>
      </c>
      <c r="L79" s="9">
        <f>(K79-E79)/E79*100</f>
        <v>58.737601982108743</v>
      </c>
      <c r="M79" s="4"/>
    </row>
    <row r="80" spans="1:13" x14ac:dyDescent="0.25">
      <c r="A80" s="10" t="str">
        <f>Saldobalance!B74</f>
        <v>Huslejeopkrævet</v>
      </c>
      <c r="B80" s="86"/>
      <c r="C80" s="96">
        <v>-135360</v>
      </c>
      <c r="D80" s="86"/>
      <c r="E80" s="87">
        <f>Saldobalance!C74</f>
        <v>-135360</v>
      </c>
      <c r="F80" s="86"/>
      <c r="G80" s="87">
        <f>Saldobalance!D74</f>
        <v>-135360</v>
      </c>
      <c r="H80" s="11"/>
      <c r="I80" s="4"/>
      <c r="J80" s="86"/>
      <c r="K80" s="107">
        <v>-135360</v>
      </c>
      <c r="L80" s="11"/>
      <c r="M80" s="4"/>
    </row>
    <row r="81" spans="1:13" x14ac:dyDescent="0.25">
      <c r="A81" s="10" t="str">
        <f>Saldobalance!B76</f>
        <v>EL opkrævet</v>
      </c>
      <c r="B81" s="86"/>
      <c r="C81" s="87">
        <v>-19400</v>
      </c>
      <c r="D81" s="86"/>
      <c r="E81" s="87">
        <f>Saldobalance!C76</f>
        <v>-10000</v>
      </c>
      <c r="F81" s="86"/>
      <c r="G81" s="87">
        <f>Saldobalance!D76</f>
        <v>-9996</v>
      </c>
      <c r="H81" s="11"/>
      <c r="I81" s="4"/>
      <c r="J81" s="86"/>
      <c r="K81" s="107">
        <v>-10000</v>
      </c>
      <c r="L81" s="11"/>
      <c r="M81" s="4"/>
    </row>
    <row r="82" spans="1:13" x14ac:dyDescent="0.25">
      <c r="A82" s="10" t="str">
        <f>Saldobalance!B77</f>
        <v>DONG - EL</v>
      </c>
      <c r="B82" s="86">
        <v>11407.57</v>
      </c>
      <c r="C82" s="87"/>
      <c r="D82" s="86">
        <f>Saldobalance!C77</f>
        <v>10000</v>
      </c>
      <c r="E82" s="87"/>
      <c r="F82" s="86">
        <f>Saldobalance!D77</f>
        <v>9800.68</v>
      </c>
      <c r="G82" s="87"/>
      <c r="H82" s="11"/>
      <c r="I82" s="4"/>
      <c r="J82" s="104">
        <v>10000</v>
      </c>
      <c r="K82" s="87"/>
      <c r="L82" s="11"/>
      <c r="M82" s="4"/>
    </row>
    <row r="83" spans="1:13" s="3" customFormat="1" x14ac:dyDescent="0.25">
      <c r="A83" s="10" t="str">
        <f>Saldobalance!B78</f>
        <v>GEF</v>
      </c>
      <c r="B83" s="86">
        <v>47286</v>
      </c>
      <c r="C83" s="87"/>
      <c r="D83" s="86">
        <f>Saldobalance!C78</f>
        <v>46656</v>
      </c>
      <c r="E83" s="87"/>
      <c r="F83" s="86">
        <f>Saldobalance!D78</f>
        <v>46656</v>
      </c>
      <c r="G83" s="87"/>
      <c r="H83" s="11"/>
      <c r="I83" s="4"/>
      <c r="J83" s="114">
        <f>-K8</f>
        <v>46656</v>
      </c>
      <c r="K83" s="87"/>
      <c r="L83" s="11"/>
      <c r="M83" s="4"/>
    </row>
    <row r="84" spans="1:13" s="3" customFormat="1" x14ac:dyDescent="0.25">
      <c r="A84" s="10" t="str">
        <f>Saldobalance!B79</f>
        <v>Renovation</v>
      </c>
      <c r="B84" s="86">
        <v>2725</v>
      </c>
      <c r="C84" s="87"/>
      <c r="D84" s="86">
        <f>Saldobalance!C79</f>
        <v>4107</v>
      </c>
      <c r="E84" s="87"/>
      <c r="F84" s="86">
        <f>Saldobalance!D79</f>
        <v>4105</v>
      </c>
      <c r="G84" s="87"/>
      <c r="H84" s="11"/>
      <c r="I84" s="4"/>
      <c r="J84" s="103">
        <f>2*1670</f>
        <v>3340</v>
      </c>
      <c r="K84" s="87"/>
      <c r="L84" s="11"/>
      <c r="M84" s="4"/>
    </row>
    <row r="85" spans="1:13" s="3" customFormat="1" x14ac:dyDescent="0.25">
      <c r="A85" s="10" t="str">
        <f>Saldobalance!B80</f>
        <v>Ejendomsskat</v>
      </c>
      <c r="B85" s="86">
        <v>36380.1</v>
      </c>
      <c r="C85" s="87"/>
      <c r="D85" s="86">
        <f>Saldobalance!C80</f>
        <v>35891.339999999997</v>
      </c>
      <c r="E85" s="87"/>
      <c r="F85" s="86">
        <f>Saldobalance!D80</f>
        <v>35891.339999999997</v>
      </c>
      <c r="G85" s="87"/>
      <c r="H85" s="11"/>
      <c r="I85" s="4"/>
      <c r="J85" s="104">
        <f>2*18597.67</f>
        <v>37195.339999999997</v>
      </c>
      <c r="K85" s="87"/>
      <c r="L85" s="11"/>
      <c r="M85" s="4"/>
    </row>
    <row r="86" spans="1:13" s="3" customFormat="1" x14ac:dyDescent="0.25">
      <c r="A86" s="10" t="str">
        <f>Saldobalance!B81</f>
        <v>Forsikringer - 4.318.305.792</v>
      </c>
      <c r="B86" s="86">
        <v>8800.75</v>
      </c>
      <c r="C86" s="87"/>
      <c r="D86" s="86">
        <f>Saldobalance!C81</f>
        <v>9000</v>
      </c>
      <c r="E86" s="87"/>
      <c r="F86" s="86">
        <f>Saldobalance!D81</f>
        <v>8966.75</v>
      </c>
      <c r="G86" s="87"/>
      <c r="H86" s="11"/>
      <c r="I86" s="4"/>
      <c r="J86" s="103">
        <v>9000</v>
      </c>
      <c r="K86" s="87"/>
      <c r="L86" s="11"/>
      <c r="M86" s="4"/>
    </row>
    <row r="87" spans="1:13" s="3" customFormat="1" x14ac:dyDescent="0.25">
      <c r="A87" s="10" t="str">
        <f>Saldobalance!B82</f>
        <v>Udv. Vedligehold Gården</v>
      </c>
      <c r="B87" s="86">
        <v>0</v>
      </c>
      <c r="C87" s="87"/>
      <c r="D87" s="86">
        <f>Saldobalance!C82</f>
        <v>12000</v>
      </c>
      <c r="E87" s="87"/>
      <c r="F87" s="86">
        <f>Saldobalance!D82</f>
        <v>8946.08</v>
      </c>
      <c r="G87" s="87"/>
      <c r="H87" s="11"/>
      <c r="I87" s="4"/>
      <c r="J87" s="104">
        <v>4000</v>
      </c>
      <c r="K87" s="87"/>
      <c r="L87" s="11"/>
      <c r="M87" s="4" t="s">
        <v>377</v>
      </c>
    </row>
    <row r="88" spans="1:13" x14ac:dyDescent="0.25">
      <c r="A88" s="10" t="str">
        <f>Saldobalance!B83</f>
        <v>Indv. Vedligehold Gården</v>
      </c>
      <c r="B88" s="10">
        <v>18089.349999999999</v>
      </c>
      <c r="C88" s="85"/>
      <c r="D88" s="10">
        <f>Saldobalance!C83</f>
        <v>15000</v>
      </c>
      <c r="E88" s="85"/>
      <c r="F88" s="10">
        <f>Saldobalance!D83</f>
        <v>0</v>
      </c>
      <c r="G88" s="85"/>
      <c r="H88" s="85"/>
      <c r="I88" s="4"/>
      <c r="J88" s="103">
        <v>15000</v>
      </c>
      <c r="K88" s="11"/>
      <c r="L88" s="85"/>
      <c r="M88" s="4" t="s">
        <v>387</v>
      </c>
    </row>
    <row r="89" spans="1:13" x14ac:dyDescent="0.25">
      <c r="A89" s="35"/>
      <c r="B89" s="13"/>
      <c r="C89" s="36"/>
      <c r="D89" s="13"/>
      <c r="E89" s="36"/>
      <c r="F89" s="13"/>
      <c r="G89" s="36"/>
      <c r="H89" s="36"/>
      <c r="I89" s="4"/>
      <c r="J89" s="13"/>
      <c r="K89" s="36"/>
      <c r="L89" s="36"/>
      <c r="M89" s="4"/>
    </row>
    <row r="90" spans="1:13" x14ac:dyDescent="0.25">
      <c r="A90" s="35" t="str">
        <f>Saldobalance!B87</f>
        <v>Diverse variable udgifter</v>
      </c>
      <c r="B90" s="13"/>
      <c r="C90" s="5">
        <v>0</v>
      </c>
      <c r="D90" s="13"/>
      <c r="E90" s="2">
        <f>Saldobalance!C87</f>
        <v>0</v>
      </c>
      <c r="F90" s="13"/>
      <c r="G90" s="2">
        <f>Saldobalance!D87</f>
        <v>0</v>
      </c>
      <c r="H90" s="9"/>
      <c r="I90" s="4"/>
      <c r="J90" s="13"/>
      <c r="K90" s="105">
        <v>0</v>
      </c>
      <c r="L90" s="9"/>
      <c r="M90" s="4"/>
    </row>
    <row r="91" spans="1:13" x14ac:dyDescent="0.25">
      <c r="A91" s="35"/>
      <c r="B91" s="13"/>
      <c r="C91" s="2"/>
      <c r="D91" s="13"/>
      <c r="E91" s="2"/>
      <c r="F91" s="13"/>
      <c r="G91" s="2"/>
      <c r="H91" s="2"/>
      <c r="I91" s="4"/>
      <c r="J91" s="13"/>
      <c r="K91" s="2"/>
      <c r="L91" s="2"/>
      <c r="M91" s="4"/>
    </row>
    <row r="92" spans="1:13" ht="13.8" thickBot="1" x14ac:dyDescent="0.3">
      <c r="A92" s="21" t="s">
        <v>185</v>
      </c>
      <c r="B92" s="41"/>
      <c r="C92" s="22">
        <v>364466.03</v>
      </c>
      <c r="D92" s="41"/>
      <c r="E92" s="22">
        <f>Saldobalance!C88</f>
        <v>294994.33999999997</v>
      </c>
      <c r="F92" s="41"/>
      <c r="G92" s="22">
        <f>Saldobalance!D88</f>
        <v>268806.92</v>
      </c>
      <c r="H92" s="84">
        <f>(G92-E92)/E92*100</f>
        <v>-8.8772618484815631</v>
      </c>
      <c r="I92" s="4"/>
      <c r="J92" s="41"/>
      <c r="K92" s="22">
        <f>SUM(K18:K68)+K72+K79+K70</f>
        <v>335031.33999999997</v>
      </c>
      <c r="L92" s="84">
        <f>(K92-E92)/E92*100</f>
        <v>13.572124807547157</v>
      </c>
      <c r="M92" s="4"/>
    </row>
    <row r="93" spans="1:13" ht="13.8" thickBot="1" x14ac:dyDescent="0.3">
      <c r="I93" s="4"/>
      <c r="M93" s="4"/>
    </row>
    <row r="94" spans="1:13" x14ac:dyDescent="0.25">
      <c r="A94" s="23" t="s">
        <v>186</v>
      </c>
      <c r="B94" s="39"/>
      <c r="C94" s="24"/>
      <c r="D94" s="24"/>
      <c r="E94" s="24"/>
      <c r="F94" s="24"/>
      <c r="G94" s="24"/>
      <c r="H94" s="40"/>
      <c r="I94" s="4"/>
      <c r="J94" s="39"/>
      <c r="K94" s="24"/>
      <c r="L94" s="40"/>
      <c r="M94" s="4"/>
    </row>
    <row r="95" spans="1:13" x14ac:dyDescent="0.25">
      <c r="A95" s="18"/>
      <c r="B95" s="47" t="str">
        <f>$B$5</f>
        <v xml:space="preserve">Regnskab </v>
      </c>
      <c r="C95" s="46">
        <f>$C$5</f>
        <v>2011</v>
      </c>
      <c r="D95" s="45" t="str">
        <f>$D$5</f>
        <v xml:space="preserve">Budget </v>
      </c>
      <c r="E95" s="46">
        <f>$E$5</f>
        <v>2012</v>
      </c>
      <c r="F95" s="45" t="str">
        <f>$F$5</f>
        <v xml:space="preserve">Regnskab </v>
      </c>
      <c r="G95" s="46">
        <f>$G$5</f>
        <v>2012</v>
      </c>
      <c r="H95" s="46" t="str">
        <f>$H$5</f>
        <v xml:space="preserve">Difference </v>
      </c>
      <c r="I95" s="4"/>
      <c r="J95" s="47" t="str">
        <f>$J$5</f>
        <v xml:space="preserve">Budget </v>
      </c>
      <c r="K95" s="46">
        <f>$K$5</f>
        <v>2013</v>
      </c>
      <c r="L95" s="46" t="str">
        <f>$L$5</f>
        <v>Stigning</v>
      </c>
      <c r="M95" s="4"/>
    </row>
    <row r="96" spans="1:13" x14ac:dyDescent="0.25">
      <c r="A96" s="29" t="s">
        <v>3</v>
      </c>
      <c r="B96" s="32"/>
      <c r="C96" s="33"/>
      <c r="D96" s="32"/>
      <c r="E96" s="33"/>
      <c r="F96" s="32"/>
      <c r="G96" s="33"/>
      <c r="H96" s="33" t="s">
        <v>4</v>
      </c>
      <c r="I96" s="4"/>
      <c r="J96" s="32"/>
      <c r="K96" s="33"/>
      <c r="L96" s="33" t="s">
        <v>4</v>
      </c>
      <c r="M96" s="4"/>
    </row>
    <row r="97" spans="1:14" x14ac:dyDescent="0.25">
      <c r="B97" s="13"/>
      <c r="C97" s="36"/>
      <c r="D97" s="13"/>
      <c r="E97" s="36"/>
      <c r="F97" s="13"/>
      <c r="G97" s="36"/>
      <c r="H97" s="36"/>
      <c r="I97" s="4"/>
      <c r="J97" s="13"/>
      <c r="K97" s="36"/>
      <c r="L97" s="36"/>
      <c r="M97" s="4"/>
    </row>
    <row r="98" spans="1:14" x14ac:dyDescent="0.25">
      <c r="A98" s="35" t="str">
        <f>Saldobalance!B92</f>
        <v>Ejendomsskat</v>
      </c>
      <c r="B98" s="13"/>
      <c r="C98" s="20">
        <v>36830.699999999997</v>
      </c>
      <c r="D98" s="13"/>
      <c r="E98" s="36">
        <f>Saldobalance!C92</f>
        <v>40435.29</v>
      </c>
      <c r="F98" s="13"/>
      <c r="G98" s="36">
        <f>Saldobalance!D92</f>
        <v>40435.29</v>
      </c>
      <c r="H98" s="9">
        <f>(G98-E98)/E98*100</f>
        <v>0</v>
      </c>
      <c r="I98" s="4"/>
      <c r="J98" s="13"/>
      <c r="K98" s="36">
        <f>2*(19888.38+1094.76)</f>
        <v>41966.28</v>
      </c>
      <c r="L98" s="9">
        <f>(K98-E98)/E98*100</f>
        <v>3.7862718432339619</v>
      </c>
      <c r="M98" s="4"/>
    </row>
    <row r="99" spans="1:14" x14ac:dyDescent="0.25">
      <c r="A99" s="35"/>
      <c r="B99" s="13"/>
      <c r="D99" s="13"/>
      <c r="E99" s="36"/>
      <c r="F99" s="13"/>
      <c r="G99" s="36"/>
      <c r="H99" s="36"/>
      <c r="I99" s="4"/>
      <c r="J99" s="13"/>
      <c r="K99" s="36"/>
      <c r="L99" s="36"/>
      <c r="M99" s="4"/>
    </row>
    <row r="100" spans="1:14" x14ac:dyDescent="0.25">
      <c r="A100" s="35" t="str">
        <f>Saldobalance!B93</f>
        <v>Forsikringer</v>
      </c>
      <c r="B100" s="13"/>
      <c r="C100" s="20">
        <v>33472.47</v>
      </c>
      <c r="D100" s="13"/>
      <c r="E100" s="36">
        <f>Saldobalance!C93</f>
        <v>37000</v>
      </c>
      <c r="F100" s="13"/>
      <c r="G100" s="36">
        <f>Saldobalance!D93</f>
        <v>36951.919999999998</v>
      </c>
      <c r="H100" s="9">
        <f>(G100-E100)/E100*100</f>
        <v>-0.12994594594595066</v>
      </c>
      <c r="I100" s="4"/>
      <c r="J100" s="13"/>
      <c r="K100" s="6">
        <v>38000</v>
      </c>
      <c r="L100" s="9">
        <f>(K100-E100)/E100*100</f>
        <v>2.7027027027027026</v>
      </c>
      <c r="M100" s="4"/>
      <c r="N100" s="3"/>
    </row>
    <row r="101" spans="1:14" x14ac:dyDescent="0.25">
      <c r="A101" s="35"/>
      <c r="B101" s="13"/>
      <c r="C101" s="6"/>
      <c r="D101" s="13"/>
      <c r="E101" s="6"/>
      <c r="F101" s="13"/>
      <c r="G101" s="6"/>
      <c r="H101" s="6"/>
      <c r="I101" s="4"/>
      <c r="J101" s="13"/>
      <c r="K101" s="6"/>
      <c r="L101" s="6"/>
      <c r="M101" s="4"/>
    </row>
    <row r="102" spans="1:14" x14ac:dyDescent="0.25">
      <c r="A102" s="35" t="str">
        <f>Saldobalance!B95</f>
        <v>Afskrivninger</v>
      </c>
      <c r="B102" s="13"/>
      <c r="C102" s="2">
        <v>263204.24</v>
      </c>
      <c r="D102" s="13"/>
      <c r="E102" s="2">
        <f>Saldobalance!C101</f>
        <v>239637.00999999998</v>
      </c>
      <c r="F102" s="13"/>
      <c r="G102" s="2">
        <f>Saldobalance!D101</f>
        <v>230158.65</v>
      </c>
      <c r="H102" s="9">
        <f>(G102-E102)/E102*100</f>
        <v>-3.9552988914358371</v>
      </c>
      <c r="I102" s="4">
        <v>10</v>
      </c>
      <c r="J102" s="13"/>
      <c r="K102" s="2">
        <f>SUM(J103:J107)</f>
        <v>226125.79703830605</v>
      </c>
      <c r="L102" s="9">
        <f>(K102-E102)/E102*100</f>
        <v>-5.6381996093566418</v>
      </c>
      <c r="M102" s="4"/>
      <c r="N102" s="20" t="s">
        <v>247</v>
      </c>
    </row>
    <row r="103" spans="1:14" x14ac:dyDescent="0.25">
      <c r="A103" s="10" t="str">
        <f>Saldobalance!B96</f>
        <v>7AV - Stuehuset + Østlængen</v>
      </c>
      <c r="B103" s="10">
        <v>38326.639999999999</v>
      </c>
      <c r="C103" s="85"/>
      <c r="D103" s="10">
        <f>Saldobalance!C96</f>
        <v>33253</v>
      </c>
      <c r="E103" s="85"/>
      <c r="F103" s="10">
        <f>Saldobalance!D96</f>
        <v>33801</v>
      </c>
      <c r="G103" s="85"/>
      <c r="H103" s="85"/>
      <c r="I103" s="4"/>
      <c r="J103" s="10">
        <v>29275.35191211661</v>
      </c>
      <c r="K103" s="11"/>
      <c r="L103" s="85"/>
      <c r="M103" s="4"/>
      <c r="N103" s="90">
        <v>2016</v>
      </c>
    </row>
    <row r="104" spans="1:14" x14ac:dyDescent="0.25">
      <c r="A104" s="10" t="str">
        <f>Saldobalance!B97</f>
        <v>Komfur &amp; Ovn, ????</v>
      </c>
      <c r="B104" s="10">
        <v>22000</v>
      </c>
      <c r="C104" s="85"/>
      <c r="D104" s="10">
        <f>Saldobalance!C97</f>
        <v>19050.939999999999</v>
      </c>
      <c r="E104" s="85"/>
      <c r="F104" s="10">
        <f>Saldobalance!D97</f>
        <v>17692.96</v>
      </c>
      <c r="G104" s="85"/>
      <c r="H104" s="85"/>
      <c r="I104" s="4"/>
      <c r="J104" s="10">
        <v>10039.433106815231</v>
      </c>
      <c r="K104" s="11"/>
      <c r="L104" s="85"/>
      <c r="M104" s="4"/>
      <c r="N104" s="90">
        <v>2013</v>
      </c>
    </row>
    <row r="105" spans="1:14" x14ac:dyDescent="0.25">
      <c r="A105" s="10" t="str">
        <f>Saldobalance!B98</f>
        <v>Fyrudskiftning, 1999</v>
      </c>
      <c r="B105" s="10">
        <v>181634.6</v>
      </c>
      <c r="C105" s="85"/>
      <c r="D105" s="10">
        <f>Saldobalance!C98</f>
        <v>166357.35999999999</v>
      </c>
      <c r="E105" s="85"/>
      <c r="F105" s="10">
        <f>Saldobalance!D98</f>
        <v>160417.53</v>
      </c>
      <c r="G105" s="85"/>
      <c r="H105" s="85"/>
      <c r="I105" s="4"/>
      <c r="J105" s="10">
        <v>172513.29309346108</v>
      </c>
      <c r="K105" s="11"/>
      <c r="L105" s="85"/>
      <c r="M105" s="4"/>
      <c r="N105" s="90">
        <v>2013</v>
      </c>
    </row>
    <row r="106" spans="1:14" x14ac:dyDescent="0.25">
      <c r="A106" s="10" t="str">
        <f>Saldobalance!B99</f>
        <v>Tørretumbler, 1999</v>
      </c>
      <c r="B106" s="10">
        <v>16575</v>
      </c>
      <c r="C106" s="85"/>
      <c r="D106" s="10">
        <f>Saldobalance!C99</f>
        <v>13975.71</v>
      </c>
      <c r="E106" s="85"/>
      <c r="F106" s="10">
        <f>Saldobalance!D99</f>
        <v>11245.16</v>
      </c>
      <c r="G106" s="85"/>
      <c r="H106" s="85"/>
      <c r="I106" s="4"/>
      <c r="J106" s="10">
        <v>6442.7189259131173</v>
      </c>
      <c r="K106" s="11"/>
      <c r="L106" s="85"/>
      <c r="M106" s="4"/>
      <c r="N106" s="90">
        <v>2015</v>
      </c>
    </row>
    <row r="107" spans="1:14" x14ac:dyDescent="0.25">
      <c r="A107" s="10" t="str">
        <f>Saldobalance!B100</f>
        <v>Vaskemaskiner, 2011</v>
      </c>
      <c r="B107" s="10">
        <v>4668</v>
      </c>
      <c r="C107" s="85"/>
      <c r="D107" s="10">
        <f>Saldobalance!C100</f>
        <v>7000</v>
      </c>
      <c r="E107" s="85"/>
      <c r="F107" s="10">
        <f>Saldobalance!D100</f>
        <v>7002</v>
      </c>
      <c r="G107" s="85"/>
      <c r="H107" s="85"/>
      <c r="I107" s="4"/>
      <c r="J107" s="10">
        <v>7855</v>
      </c>
      <c r="K107" s="11"/>
      <c r="L107" s="85"/>
      <c r="M107" s="4"/>
      <c r="N107" s="90">
        <v>2023</v>
      </c>
    </row>
    <row r="108" spans="1:14" x14ac:dyDescent="0.25">
      <c r="A108" s="35"/>
      <c r="B108" s="88"/>
      <c r="C108" s="89"/>
      <c r="D108" s="88"/>
      <c r="E108" s="89"/>
      <c r="F108" s="88"/>
      <c r="G108" s="89"/>
      <c r="H108" s="89"/>
      <c r="I108" s="4"/>
      <c r="J108" s="88"/>
      <c r="K108" s="36"/>
      <c r="L108" s="89"/>
      <c r="M108" s="4"/>
    </row>
    <row r="109" spans="1:14" x14ac:dyDescent="0.25">
      <c r="A109" s="35" t="str">
        <f>Saldobalance!B103</f>
        <v>Renter og gebyrer</v>
      </c>
      <c r="B109" s="13"/>
      <c r="C109" s="6">
        <v>117.9</v>
      </c>
      <c r="D109" s="13"/>
      <c r="E109" s="6">
        <f>Saldobalance!C108</f>
        <v>5000</v>
      </c>
      <c r="F109" s="13"/>
      <c r="G109" s="6">
        <f>Saldobalance!D108</f>
        <v>2048.84</v>
      </c>
      <c r="H109" s="9"/>
      <c r="I109" s="4"/>
      <c r="J109" s="13"/>
      <c r="K109" s="6">
        <f>SUM(J110:J113)</f>
        <v>2000</v>
      </c>
      <c r="L109" s="9"/>
      <c r="M109" s="4"/>
    </row>
    <row r="110" spans="1:14" x14ac:dyDescent="0.25">
      <c r="A110" s="10" t="str">
        <f>Saldobalance!B104</f>
        <v>Nordea</v>
      </c>
      <c r="B110" s="10">
        <v>0</v>
      </c>
      <c r="C110" s="11"/>
      <c r="D110" s="10">
        <f>Saldobalance!C104</f>
        <v>5000</v>
      </c>
      <c r="E110" s="11"/>
      <c r="F110" s="10">
        <f>Saldobalance!D104</f>
        <v>2048.84</v>
      </c>
      <c r="G110" s="11"/>
      <c r="H110" s="11"/>
      <c r="I110" s="4">
        <v>11</v>
      </c>
      <c r="J110" s="10">
        <v>2000</v>
      </c>
      <c r="K110" s="11"/>
      <c r="L110" s="11"/>
      <c r="M110" s="4"/>
    </row>
    <row r="111" spans="1:14" x14ac:dyDescent="0.25">
      <c r="A111" s="10" t="str">
        <f>Saldobalance!B105</f>
        <v>Gevinst på valutakursdiff, debitorer</v>
      </c>
      <c r="B111" s="10">
        <v>0</v>
      </c>
      <c r="C111" s="11"/>
      <c r="D111" s="10">
        <f>Saldobalance!C105</f>
        <v>0</v>
      </c>
      <c r="E111" s="11"/>
      <c r="F111" s="10">
        <f>Saldobalance!D105</f>
        <v>0</v>
      </c>
      <c r="G111" s="11"/>
      <c r="H111" s="11"/>
      <c r="I111" s="4"/>
      <c r="J111" s="10">
        <v>0</v>
      </c>
      <c r="K111" s="11"/>
      <c r="L111" s="11"/>
      <c r="M111" s="4"/>
    </row>
    <row r="112" spans="1:14" x14ac:dyDescent="0.25">
      <c r="A112" s="10" t="str">
        <f>Saldobalance!B106</f>
        <v>Gevinst på valutakursdiff, kreditorer</v>
      </c>
      <c r="B112" s="10">
        <v>0</v>
      </c>
      <c r="C112" s="11"/>
      <c r="D112" s="10">
        <f>Saldobalance!C106</f>
        <v>0</v>
      </c>
      <c r="E112" s="11"/>
      <c r="F112" s="10">
        <f>Saldobalance!D106</f>
        <v>0</v>
      </c>
      <c r="G112" s="11"/>
      <c r="H112" s="11"/>
      <c r="I112" s="4"/>
      <c r="J112" s="10">
        <v>0</v>
      </c>
      <c r="K112" s="11"/>
      <c r="L112" s="11"/>
      <c r="M112" s="4"/>
    </row>
    <row r="113" spans="1:14" x14ac:dyDescent="0.25">
      <c r="A113" s="10" t="str">
        <f>Saldobalance!B107</f>
        <v>Andre renter og gebyrer</v>
      </c>
      <c r="B113" s="10">
        <v>117.9</v>
      </c>
      <c r="C113" s="11"/>
      <c r="D113" s="10">
        <f>Saldobalance!C107</f>
        <v>0</v>
      </c>
      <c r="E113" s="11"/>
      <c r="F113" s="10">
        <f>Saldobalance!D107</f>
        <v>0</v>
      </c>
      <c r="G113" s="11"/>
      <c r="H113" s="11"/>
      <c r="I113" s="97"/>
      <c r="J113" s="10">
        <v>0</v>
      </c>
      <c r="K113" s="11"/>
      <c r="L113" s="11"/>
      <c r="M113" s="4"/>
    </row>
    <row r="114" spans="1:14" x14ac:dyDescent="0.25">
      <c r="A114" s="35"/>
      <c r="B114" s="13"/>
      <c r="C114" s="36"/>
      <c r="D114" s="13"/>
      <c r="E114" s="36"/>
      <c r="F114" s="13"/>
      <c r="G114" s="36"/>
      <c r="H114" s="36"/>
      <c r="I114" s="4"/>
      <c r="J114" s="13"/>
      <c r="K114" s="36"/>
      <c r="L114" s="36"/>
      <c r="M114" s="4"/>
    </row>
    <row r="115" spans="1:14" x14ac:dyDescent="0.25">
      <c r="A115" s="35" t="str">
        <f>Saldobalance!B110</f>
        <v>Ressourceforbrug i Fælleshuset</v>
      </c>
      <c r="B115" s="13"/>
      <c r="C115" s="2">
        <v>200067.9</v>
      </c>
      <c r="D115" s="13"/>
      <c r="E115" s="2">
        <f>Saldobalance!C116</f>
        <v>160100</v>
      </c>
      <c r="F115" s="13"/>
      <c r="G115" s="2">
        <f>Saldobalance!D116</f>
        <v>162780.37000000002</v>
      </c>
      <c r="H115" s="9">
        <f>(G115-E115)/E115*100</f>
        <v>1.6741848844472358</v>
      </c>
      <c r="I115" s="4"/>
      <c r="J115" s="13"/>
      <c r="K115" s="2">
        <f>SUM(J116:J120)</f>
        <v>140300</v>
      </c>
      <c r="L115" s="9">
        <f>(K115-E115)/E115*100</f>
        <v>-12.367270455965022</v>
      </c>
      <c r="M115" s="4"/>
    </row>
    <row r="116" spans="1:14" x14ac:dyDescent="0.25">
      <c r="A116" s="10" t="str">
        <f>Saldobalance!B111</f>
        <v>Renovation</v>
      </c>
      <c r="B116" s="10">
        <v>56185.03</v>
      </c>
      <c r="C116" s="85"/>
      <c r="D116" s="10">
        <f>Saldobalance!C111</f>
        <v>12900</v>
      </c>
      <c r="E116" s="85"/>
      <c r="F116" s="10">
        <f>Saldobalance!D111</f>
        <v>12595.98</v>
      </c>
      <c r="G116" s="85"/>
      <c r="H116" s="85"/>
      <c r="I116" s="4"/>
      <c r="J116" s="10">
        <f>7900+3000</f>
        <v>10900</v>
      </c>
      <c r="K116" s="11"/>
      <c r="L116" s="85"/>
      <c r="M116" s="4"/>
      <c r="N116" s="3"/>
    </row>
    <row r="117" spans="1:14" x14ac:dyDescent="0.25">
      <c r="A117" s="10" t="str">
        <f>Saldobalance!B112</f>
        <v>EL</v>
      </c>
      <c r="B117" s="10">
        <v>74946.87</v>
      </c>
      <c r="C117" s="85"/>
      <c r="D117" s="10">
        <f>Saldobalance!C112</f>
        <v>63200</v>
      </c>
      <c r="E117" s="85"/>
      <c r="F117" s="10">
        <f>Saldobalance!D112</f>
        <v>60599.6</v>
      </c>
      <c r="G117" s="85"/>
      <c r="H117" s="85"/>
      <c r="I117" s="4"/>
      <c r="J117" s="10">
        <v>63200</v>
      </c>
      <c r="K117" s="11"/>
      <c r="L117" s="85"/>
      <c r="M117" s="4"/>
    </row>
    <row r="118" spans="1:14" x14ac:dyDescent="0.25">
      <c r="A118" s="10" t="str">
        <f>Saldobalance!B113</f>
        <v>Varme / gas</v>
      </c>
      <c r="B118" s="10">
        <v>54906</v>
      </c>
      <c r="C118" s="85"/>
      <c r="D118" s="10">
        <f>Saldobalance!C113</f>
        <v>48000</v>
      </c>
      <c r="E118" s="85"/>
      <c r="F118" s="10">
        <f>Saldobalance!D113</f>
        <v>54796</v>
      </c>
      <c r="G118" s="85"/>
      <c r="H118" s="85"/>
      <c r="I118" s="4">
        <v>12</v>
      </c>
      <c r="J118" s="10">
        <v>44000</v>
      </c>
      <c r="K118" s="11"/>
      <c r="L118" s="85"/>
      <c r="M118" s="4" t="s">
        <v>388</v>
      </c>
    </row>
    <row r="119" spans="1:14" x14ac:dyDescent="0.25">
      <c r="A119" s="10" t="str">
        <f>Saldobalance!B114</f>
        <v>Vand</v>
      </c>
      <c r="B119" s="10">
        <v>9380</v>
      </c>
      <c r="C119" s="85"/>
      <c r="D119" s="10">
        <f>Saldobalance!C114</f>
        <v>33000</v>
      </c>
      <c r="E119" s="85"/>
      <c r="F119" s="10">
        <f>Saldobalance!D114</f>
        <v>32306</v>
      </c>
      <c r="G119" s="85"/>
      <c r="H119" s="85"/>
      <c r="I119" s="4"/>
      <c r="J119" s="10">
        <f>6*3200</f>
        <v>19200</v>
      </c>
      <c r="K119" s="11"/>
      <c r="L119" s="85"/>
      <c r="M119" s="4" t="s">
        <v>394</v>
      </c>
      <c r="N119" s="3"/>
    </row>
    <row r="120" spans="1:14" x14ac:dyDescent="0.25">
      <c r="A120" s="10" t="str">
        <f>Saldobalance!B115</f>
        <v>Vask</v>
      </c>
      <c r="B120" s="10">
        <v>4650</v>
      </c>
      <c r="C120" s="85"/>
      <c r="D120" s="10">
        <f>Saldobalance!C115</f>
        <v>3000</v>
      </c>
      <c r="E120" s="85"/>
      <c r="F120" s="10">
        <f>Saldobalance!D115</f>
        <v>2482.79</v>
      </c>
      <c r="G120" s="85"/>
      <c r="H120" s="85"/>
      <c r="I120" s="4"/>
      <c r="J120" s="10">
        <v>3000</v>
      </c>
      <c r="K120" s="11"/>
      <c r="L120" s="85"/>
      <c r="M120" s="4"/>
    </row>
    <row r="121" spans="1:14" x14ac:dyDescent="0.25">
      <c r="A121" s="34"/>
      <c r="B121" s="34"/>
      <c r="C121" s="36"/>
      <c r="D121" s="34"/>
      <c r="E121" s="36"/>
      <c r="F121" s="34"/>
      <c r="G121" s="36"/>
      <c r="H121" s="36"/>
      <c r="I121" s="4"/>
      <c r="J121" s="34"/>
      <c r="K121" s="36"/>
      <c r="L121" s="36"/>
      <c r="M121" s="4"/>
    </row>
    <row r="122" spans="1:14" x14ac:dyDescent="0.25">
      <c r="A122" s="35" t="str">
        <f>Saldobalance!B118</f>
        <v>Bestyrelsen</v>
      </c>
      <c r="B122" s="13"/>
      <c r="C122" s="36">
        <v>6532.51</v>
      </c>
      <c r="D122" s="13"/>
      <c r="E122" s="36">
        <f>Saldobalance!C122</f>
        <v>9000</v>
      </c>
      <c r="F122" s="13"/>
      <c r="G122" s="36">
        <f>Saldobalance!D122</f>
        <v>8698.5</v>
      </c>
      <c r="H122" s="9">
        <f>(G122-E122)/E122*100</f>
        <v>-3.35</v>
      </c>
      <c r="I122" s="4"/>
      <c r="J122" s="13"/>
      <c r="K122" s="36">
        <f>SUM(J123:J125)</f>
        <v>10500</v>
      </c>
      <c r="L122" s="9">
        <f>(K122-E122)/E122*100</f>
        <v>16.666666666666664</v>
      </c>
      <c r="M122" s="4"/>
    </row>
    <row r="123" spans="1:14" x14ac:dyDescent="0.25">
      <c r="A123" s="10" t="str">
        <f>Saldobalance!B119</f>
        <v>Drift af bestyrelsen</v>
      </c>
      <c r="B123" s="10">
        <v>4545.3999999999996</v>
      </c>
      <c r="C123" s="11"/>
      <c r="D123" s="10">
        <f>Saldobalance!C119</f>
        <v>3500</v>
      </c>
      <c r="E123" s="11"/>
      <c r="F123" s="10">
        <f>Saldobalance!D119</f>
        <v>2453.5</v>
      </c>
      <c r="G123" s="11"/>
      <c r="H123" s="11"/>
      <c r="I123" s="4"/>
      <c r="J123" s="10">
        <v>3500</v>
      </c>
      <c r="K123" s="11"/>
      <c r="L123" s="11"/>
      <c r="M123" s="4"/>
    </row>
    <row r="124" spans="1:14" x14ac:dyDescent="0.25">
      <c r="A124" s="10" t="str">
        <f>Saldobalance!B120</f>
        <v>Kontorartikler og Porto</v>
      </c>
      <c r="B124" s="10">
        <v>446.95</v>
      </c>
      <c r="C124" s="11"/>
      <c r="D124" s="10">
        <f>Saldobalance!C120</f>
        <v>1000</v>
      </c>
      <c r="E124" s="11"/>
      <c r="F124" s="10">
        <f>Saldobalance!D120</f>
        <v>271</v>
      </c>
      <c r="G124" s="11"/>
      <c r="H124" s="11"/>
      <c r="I124" s="4"/>
      <c r="J124" s="10">
        <v>1500</v>
      </c>
      <c r="K124" s="11"/>
      <c r="L124" s="11"/>
      <c r="M124" s="4" t="s">
        <v>395</v>
      </c>
    </row>
    <row r="125" spans="1:14" x14ac:dyDescent="0.25">
      <c r="A125" s="10" t="str">
        <f>Saldobalance!B121</f>
        <v>Økonomisystem</v>
      </c>
      <c r="B125" s="10">
        <v>1540.16</v>
      </c>
      <c r="C125" s="11"/>
      <c r="D125" s="10">
        <f>Saldobalance!C121</f>
        <v>4500</v>
      </c>
      <c r="E125" s="11"/>
      <c r="F125" s="10">
        <f>Saldobalance!D121</f>
        <v>5974</v>
      </c>
      <c r="G125" s="11"/>
      <c r="H125" s="11"/>
      <c r="I125" s="4">
        <v>13</v>
      </c>
      <c r="J125" s="10">
        <v>5500</v>
      </c>
      <c r="K125" s="11"/>
      <c r="L125" s="11"/>
      <c r="M125" s="4"/>
    </row>
    <row r="126" spans="1:14" x14ac:dyDescent="0.25">
      <c r="A126" s="35"/>
      <c r="B126" s="13"/>
      <c r="C126" s="6"/>
      <c r="D126" s="13"/>
      <c r="E126" s="6"/>
      <c r="F126" s="13"/>
      <c r="G126" s="6"/>
      <c r="H126" s="6"/>
      <c r="I126" s="4"/>
      <c r="J126" s="13"/>
      <c r="K126" s="6"/>
      <c r="L126" s="6"/>
      <c r="M126" s="4"/>
    </row>
    <row r="127" spans="1:14" x14ac:dyDescent="0.25">
      <c r="A127" s="35" t="str">
        <f>Saldobalance!B124</f>
        <v>Revision</v>
      </c>
      <c r="B127" s="13"/>
      <c r="C127" s="2">
        <v>46051.25</v>
      </c>
      <c r="D127" s="13"/>
      <c r="E127" s="2">
        <f>Saldobalance!C127</f>
        <v>38000</v>
      </c>
      <c r="F127" s="13"/>
      <c r="G127" s="2">
        <f>Saldobalance!D127</f>
        <v>32000</v>
      </c>
      <c r="H127" s="9">
        <f>(G127-E127)/E127*100</f>
        <v>-15.789473684210526</v>
      </c>
      <c r="I127" s="4"/>
      <c r="J127" s="13"/>
      <c r="K127" s="2">
        <f>SUM(J128:J129)</f>
        <v>30125</v>
      </c>
      <c r="L127" s="9">
        <f>(K127-E127)/E127*100</f>
        <v>-20.723684210526315</v>
      </c>
      <c r="M127" s="4"/>
    </row>
    <row r="128" spans="1:14" x14ac:dyDescent="0.25">
      <c r="A128" s="10" t="str">
        <f>Saldobalance!B125</f>
        <v>GEF-regnskab</v>
      </c>
      <c r="B128" s="10">
        <v>37926.25</v>
      </c>
      <c r="C128" s="85"/>
      <c r="D128" s="10">
        <f>Saldobalance!C125</f>
        <v>30000</v>
      </c>
      <c r="E128" s="85"/>
      <c r="F128" s="10">
        <f>Saldobalance!D125</f>
        <v>23875</v>
      </c>
      <c r="G128" s="85"/>
      <c r="H128" s="85"/>
      <c r="I128" s="4">
        <v>14</v>
      </c>
      <c r="J128" s="10">
        <v>21625</v>
      </c>
      <c r="K128" s="11"/>
      <c r="L128" s="85"/>
      <c r="M128" s="4" t="s">
        <v>396</v>
      </c>
      <c r="N128" s="3"/>
    </row>
    <row r="129" spans="1:15" x14ac:dyDescent="0.25">
      <c r="A129" s="10" t="str">
        <f>Saldobalance!B126</f>
        <v>IS-regnskab</v>
      </c>
      <c r="B129" s="10">
        <v>8125</v>
      </c>
      <c r="C129" s="85"/>
      <c r="D129" s="10">
        <f>Saldobalance!C126</f>
        <v>8000</v>
      </c>
      <c r="E129" s="85"/>
      <c r="F129" s="10">
        <f>Saldobalance!D126</f>
        <v>8125</v>
      </c>
      <c r="G129" s="85"/>
      <c r="H129" s="85"/>
      <c r="I129" s="4"/>
      <c r="J129" s="10">
        <v>8500</v>
      </c>
      <c r="K129" s="11"/>
      <c r="L129" s="85"/>
      <c r="M129" s="4"/>
    </row>
    <row r="130" spans="1:15" x14ac:dyDescent="0.25">
      <c r="A130" s="35"/>
      <c r="B130" s="13"/>
      <c r="C130" s="6"/>
      <c r="D130" s="13"/>
      <c r="E130" s="6"/>
      <c r="F130" s="13"/>
      <c r="G130" s="6"/>
      <c r="H130" s="6"/>
      <c r="I130" s="4"/>
      <c r="J130" s="13"/>
      <c r="K130" s="6"/>
      <c r="L130" s="6"/>
      <c r="M130" s="4"/>
    </row>
    <row r="131" spans="1:15" x14ac:dyDescent="0.25">
      <c r="A131" s="35" t="str">
        <f>Saldobalance!B129</f>
        <v>Diverse</v>
      </c>
      <c r="B131" s="13"/>
      <c r="C131" s="2">
        <v>-305.01</v>
      </c>
      <c r="D131" s="13"/>
      <c r="E131" s="2">
        <f>Saldobalance!C134</f>
        <v>4122</v>
      </c>
      <c r="F131" s="13"/>
      <c r="G131" s="2">
        <f>Saldobalance!D134</f>
        <v>84</v>
      </c>
      <c r="H131" s="9">
        <f>(G131-E131)/E131*100</f>
        <v>-97.962154294032018</v>
      </c>
      <c r="I131" s="4"/>
      <c r="J131" s="13"/>
      <c r="K131" s="2">
        <f>SUM(J132:J135)</f>
        <v>2084</v>
      </c>
      <c r="L131" s="9">
        <f>(K131-E131)/E131*100</f>
        <v>-49.442018437651626</v>
      </c>
      <c r="M131" s="4"/>
    </row>
    <row r="132" spans="1:15" x14ac:dyDescent="0.25">
      <c r="A132" s="10" t="str">
        <f>Saldobalance!B130</f>
        <v>Tab på Bofæller</v>
      </c>
      <c r="B132" s="10">
        <v>0</v>
      </c>
      <c r="C132" s="85"/>
      <c r="D132" s="10">
        <f>Saldobalance!C130</f>
        <v>0</v>
      </c>
      <c r="E132" s="85"/>
      <c r="F132" s="10">
        <f>Saldobalance!D130</f>
        <v>0</v>
      </c>
      <c r="G132" s="85"/>
      <c r="H132" s="85"/>
      <c r="I132" s="4"/>
      <c r="J132" s="10">
        <v>0</v>
      </c>
      <c r="K132" s="11"/>
      <c r="L132" s="85"/>
      <c r="M132" s="4"/>
    </row>
    <row r="133" spans="1:15" x14ac:dyDescent="0.25">
      <c r="A133" s="10" t="str">
        <f>Saldobalance!B131</f>
        <v>Øredifferencer</v>
      </c>
      <c r="B133" s="10">
        <v>-0.01</v>
      </c>
      <c r="C133" s="85"/>
      <c r="D133" s="10">
        <f>Saldobalance!C131</f>
        <v>0</v>
      </c>
      <c r="E133" s="85"/>
      <c r="F133" s="10">
        <f>Saldobalance!D131</f>
        <v>0</v>
      </c>
      <c r="G133" s="85"/>
      <c r="H133" s="85"/>
      <c r="I133" s="4"/>
      <c r="J133" s="10">
        <v>0</v>
      </c>
      <c r="K133" s="11"/>
      <c r="L133" s="85"/>
      <c r="M133" s="4"/>
    </row>
    <row r="134" spans="1:15" x14ac:dyDescent="0.25">
      <c r="A134" s="10" t="str">
        <f>Saldobalance!B132</f>
        <v>Afrundingsfejl på Sol-projekt</v>
      </c>
      <c r="B134" s="10">
        <v>84</v>
      </c>
      <c r="C134" s="85"/>
      <c r="D134" s="10">
        <f>Saldobalance!C132</f>
        <v>122</v>
      </c>
      <c r="E134" s="85"/>
      <c r="F134" s="10">
        <f>Saldobalance!D132</f>
        <v>84</v>
      </c>
      <c r="G134" s="85"/>
      <c r="H134" s="85"/>
      <c r="I134" s="4"/>
      <c r="J134" s="10">
        <v>84</v>
      </c>
      <c r="K134" s="11"/>
      <c r="L134" s="85"/>
      <c r="M134" s="4"/>
    </row>
    <row r="135" spans="1:15" x14ac:dyDescent="0.25">
      <c r="A135" s="10" t="str">
        <f>Saldobalance!B133</f>
        <v>Diverse omkostninger</v>
      </c>
      <c r="B135" s="10">
        <v>-389</v>
      </c>
      <c r="C135" s="85"/>
      <c r="D135" s="10">
        <f>Saldobalance!C133</f>
        <v>4000</v>
      </c>
      <c r="E135" s="85"/>
      <c r="F135" s="10">
        <f>Saldobalance!D133</f>
        <v>0</v>
      </c>
      <c r="G135" s="85"/>
      <c r="H135" s="85"/>
      <c r="I135" s="4"/>
      <c r="J135" s="10">
        <v>2000</v>
      </c>
      <c r="K135" s="11"/>
      <c r="L135" s="85"/>
      <c r="M135" s="4"/>
    </row>
    <row r="136" spans="1:15" x14ac:dyDescent="0.25">
      <c r="A136" s="14"/>
      <c r="B136" s="14"/>
      <c r="C136" s="50"/>
      <c r="D136" s="14"/>
      <c r="E136" s="50"/>
      <c r="F136" s="14"/>
      <c r="G136" s="50"/>
      <c r="H136" s="50"/>
      <c r="I136" s="4"/>
      <c r="J136" s="14"/>
      <c r="K136" s="50"/>
      <c r="L136" s="50"/>
      <c r="M136" s="4"/>
    </row>
    <row r="137" spans="1:15" ht="13.8" thickBot="1" x14ac:dyDescent="0.3">
      <c r="A137" s="21" t="str">
        <f>Saldobalance!B135</f>
        <v>Faste udgifter i alt</v>
      </c>
      <c r="B137" s="37"/>
      <c r="C137" s="7">
        <v>585971.96</v>
      </c>
      <c r="D137" s="37"/>
      <c r="E137" s="7">
        <f>Saldobalance!C135</f>
        <v>533294.30000000005</v>
      </c>
      <c r="F137" s="37"/>
      <c r="G137" s="7">
        <f>Saldobalance!D135</f>
        <v>513157.57000000007</v>
      </c>
      <c r="H137" s="109">
        <f>(G137-E137)/E137*100</f>
        <v>-3.7759132246491252</v>
      </c>
      <c r="I137" s="4"/>
      <c r="J137" s="37"/>
      <c r="K137" s="7">
        <f>SUM(K97:K135)</f>
        <v>491101.07703830604</v>
      </c>
      <c r="L137" s="69">
        <f>(K137-E137)/E137*100</f>
        <v>-7.911808350791298</v>
      </c>
      <c r="M137" s="4"/>
    </row>
    <row r="138" spans="1:15" x14ac:dyDescent="0.25">
      <c r="A138" s="12"/>
      <c r="B138" s="1"/>
      <c r="C138" s="16"/>
      <c r="D138" s="1"/>
      <c r="E138" s="16"/>
      <c r="F138" s="1"/>
      <c r="G138" s="16"/>
      <c r="H138" s="16"/>
      <c r="I138" s="4"/>
      <c r="J138" s="1"/>
      <c r="K138" s="16"/>
      <c r="L138" s="16"/>
      <c r="M138" s="4"/>
      <c r="N138" s="93"/>
    </row>
    <row r="139" spans="1:15" ht="13.8" thickBot="1" x14ac:dyDescent="0.3">
      <c r="A139" s="21" t="str">
        <f>Saldobalance!B136</f>
        <v>Fælles udgifter i alt</v>
      </c>
      <c r="B139" s="41"/>
      <c r="C139" s="22">
        <v>950437.99</v>
      </c>
      <c r="D139" s="41"/>
      <c r="E139" s="22">
        <f>Saldobalance!C136</f>
        <v>828288.64</v>
      </c>
      <c r="F139" s="41"/>
      <c r="G139" s="22">
        <f>Saldobalance!D136</f>
        <v>781964.49</v>
      </c>
      <c r="H139" s="109">
        <f>(G139-E139)/E139*100</f>
        <v>-5.592754477472976</v>
      </c>
      <c r="I139" s="4"/>
      <c r="J139" s="41"/>
      <c r="K139" s="22">
        <f>SUM(K92+K137)</f>
        <v>826132.41703830601</v>
      </c>
      <c r="L139" s="69">
        <f>(K139-E139)/E139*100</f>
        <v>-0.26032265294547591</v>
      </c>
      <c r="M139" s="4"/>
    </row>
    <row r="140" spans="1:15" x14ac:dyDescent="0.25">
      <c r="I140" s="4"/>
      <c r="M140" s="4"/>
      <c r="N140" s="98"/>
    </row>
    <row r="141" spans="1:15" ht="13.8" thickBot="1" x14ac:dyDescent="0.3">
      <c r="A141" s="21" t="str">
        <f>Saldobalance!B137</f>
        <v>Årets resultat for Bakken</v>
      </c>
      <c r="B141" s="41"/>
      <c r="C141" s="94">
        <v>-152470.6</v>
      </c>
      <c r="D141" s="41"/>
      <c r="E141" s="94">
        <f>-Saldobalance!C137</f>
        <v>-32.639999999984866</v>
      </c>
      <c r="F141" s="41"/>
      <c r="G141" s="94">
        <f>-Saldobalance!D137</f>
        <v>60484.750000000029</v>
      </c>
      <c r="H141" s="109">
        <f>(G141-E141)/E141*100</f>
        <v>-185408.67034322326</v>
      </c>
      <c r="I141" s="4">
        <v>15</v>
      </c>
      <c r="J141" s="41"/>
      <c r="K141" s="94">
        <f>-(K11+K139)</f>
        <v>123.58296169398818</v>
      </c>
      <c r="L141" s="69">
        <f>(K141-E141)/E141*100</f>
        <v>-478.6242698959727</v>
      </c>
      <c r="M141" s="4"/>
    </row>
    <row r="142" spans="1:15" x14ac:dyDescent="0.25">
      <c r="A142" s="12"/>
      <c r="B142" s="42"/>
      <c r="C142" s="153"/>
      <c r="D142" s="42"/>
      <c r="E142" s="153"/>
      <c r="F142" s="42"/>
      <c r="G142" s="153"/>
      <c r="H142" s="154"/>
      <c r="I142" s="4"/>
      <c r="J142" s="42"/>
      <c r="K142" s="153"/>
      <c r="L142" s="155"/>
      <c r="M142" s="4"/>
    </row>
    <row r="143" spans="1:15" x14ac:dyDescent="0.25">
      <c r="A143" s="12"/>
      <c r="B143" s="42"/>
      <c r="C143" s="153"/>
      <c r="D143" s="42"/>
      <c r="E143" s="153"/>
      <c r="F143" s="42"/>
      <c r="G143" s="153"/>
      <c r="H143" s="154"/>
      <c r="I143" s="4"/>
      <c r="J143" s="42"/>
      <c r="K143" s="153"/>
      <c r="L143" s="155"/>
      <c r="M143" s="4"/>
    </row>
    <row r="144" spans="1:15" x14ac:dyDescent="0.25">
      <c r="A144" s="12"/>
      <c r="B144" s="1"/>
      <c r="C144" s="12"/>
      <c r="D144" s="1"/>
      <c r="E144" s="12"/>
      <c r="F144" s="1"/>
      <c r="G144" s="12"/>
      <c r="H144" s="4"/>
      <c r="L144" s="4"/>
      <c r="M144" s="4"/>
      <c r="N144" s="3"/>
      <c r="O144" s="3"/>
    </row>
    <row r="145" spans="1:15" s="8" customFormat="1" ht="17.399999999999999" x14ac:dyDescent="0.3">
      <c r="A145" s="147" t="s">
        <v>353</v>
      </c>
      <c r="H145" s="148"/>
      <c r="L145" s="148"/>
      <c r="M145" s="4"/>
    </row>
    <row r="146" spans="1:15" x14ac:dyDescent="0.25">
      <c r="I146" s="4"/>
      <c r="M146" s="4"/>
    </row>
    <row r="147" spans="1:15" ht="13.8" thickBot="1" x14ac:dyDescent="0.3">
      <c r="A147" s="21" t="str">
        <f>Saldobalance!B246</f>
        <v>EGENKAPITAL</v>
      </c>
      <c r="B147" s="41"/>
      <c r="C147" s="121">
        <v>5842323.3099999996</v>
      </c>
      <c r="D147" s="4"/>
      <c r="E147" s="4"/>
      <c r="F147" s="4"/>
      <c r="G147" s="22">
        <f>-Saldobalance!D250</f>
        <v>6048295.1899999995</v>
      </c>
      <c r="I147" s="4">
        <v>16</v>
      </c>
      <c r="M147" s="4"/>
    </row>
    <row r="148" spans="1:15" x14ac:dyDescent="0.25">
      <c r="D148" s="4"/>
      <c r="E148" s="4"/>
      <c r="F148" s="4"/>
      <c r="M148" s="4"/>
    </row>
    <row r="149" spans="1:15" ht="13.8" thickBot="1" x14ac:dyDescent="0.3">
      <c r="A149" s="21" t="str">
        <f>Saldobalance!B253</f>
        <v>Opsparing</v>
      </c>
      <c r="B149" s="41"/>
      <c r="C149" s="94">
        <v>173784</v>
      </c>
      <c r="D149" s="4"/>
      <c r="E149" s="4"/>
      <c r="F149" s="4"/>
      <c r="G149" s="94">
        <f>-Saldobalance!D253</f>
        <v>127784</v>
      </c>
      <c r="I149" s="4">
        <v>17</v>
      </c>
      <c r="M149" s="4"/>
    </row>
    <row r="150" spans="1:15" x14ac:dyDescent="0.25">
      <c r="D150" s="4"/>
      <c r="E150" s="4"/>
      <c r="F150" s="4"/>
      <c r="M150" s="4"/>
    </row>
    <row r="151" spans="1:15" ht="13.8" thickBot="1" x14ac:dyDescent="0.3">
      <c r="A151" s="21" t="str">
        <f>Saldobalance!B200</f>
        <v>Bakken Bank</v>
      </c>
      <c r="B151" s="41"/>
      <c r="C151" s="94">
        <f>-(531537.36+134921.75)</f>
        <v>-666459.11</v>
      </c>
      <c r="D151" s="4"/>
      <c r="E151" s="4"/>
      <c r="F151" s="4"/>
      <c r="G151" s="94">
        <f>-Saldobalance!D206</f>
        <v>-405385.39</v>
      </c>
      <c r="I151" s="4">
        <v>18</v>
      </c>
      <c r="M151" s="4"/>
    </row>
    <row r="152" spans="1:15" x14ac:dyDescent="0.25">
      <c r="D152" s="4"/>
      <c r="E152" s="4"/>
      <c r="F152" s="4"/>
      <c r="M152" s="4"/>
    </row>
    <row r="153" spans="1:15" ht="13.8" thickBot="1" x14ac:dyDescent="0.3">
      <c r="A153" s="21" t="s">
        <v>254</v>
      </c>
      <c r="B153" s="41"/>
      <c r="C153" s="94">
        <f>358524.45 -(224490.66 + 504829.78+12348.13)</f>
        <v>-383144.12000000005</v>
      </c>
      <c r="D153" s="4"/>
      <c r="E153" s="4"/>
      <c r="F153" s="4"/>
      <c r="G153" s="94">
        <f>Saldobalance!D239+Saldobalance!D259+Saldobalance!D273+Saldobalance!D268</f>
        <v>-48554.730000000098</v>
      </c>
      <c r="I153" s="4">
        <v>19</v>
      </c>
      <c r="M153" s="4"/>
    </row>
    <row r="154" spans="1:15" x14ac:dyDescent="0.25">
      <c r="D154" s="4"/>
      <c r="E154" s="4"/>
      <c r="F154" s="4"/>
      <c r="I154" s="4"/>
      <c r="M154" s="4"/>
    </row>
    <row r="155" spans="1:15" ht="13.8" thickBot="1" x14ac:dyDescent="0.3">
      <c r="A155" s="21" t="s">
        <v>253</v>
      </c>
      <c r="B155" s="41"/>
      <c r="C155" s="22">
        <f>-(358524.45-504829.78)</f>
        <v>146305.33000000002</v>
      </c>
      <c r="D155" s="4"/>
      <c r="E155" s="4"/>
      <c r="F155" s="4"/>
      <c r="G155" s="22">
        <f>IF(Saldobalance!D268+Saldobalance!D239&lt;0,-(Saldobalance!D268+Saldobalance!D239),0)</f>
        <v>0</v>
      </c>
      <c r="I155" s="4"/>
      <c r="M155" s="4"/>
    </row>
    <row r="156" spans="1:15" x14ac:dyDescent="0.25">
      <c r="D156" s="4"/>
      <c r="E156" s="4"/>
      <c r="F156" s="4"/>
      <c r="I156" s="4"/>
      <c r="M156" s="4"/>
    </row>
    <row r="157" spans="1:15" ht="13.8" thickBot="1" x14ac:dyDescent="0.3">
      <c r="A157" s="21" t="str">
        <f>Saldobalance!B219</f>
        <v>Tilgodehavender hos Bofæller</v>
      </c>
      <c r="B157" s="41"/>
      <c r="C157" s="22">
        <v>54101</v>
      </c>
      <c r="D157" s="4"/>
      <c r="E157" s="4"/>
      <c r="F157" s="4"/>
      <c r="G157" s="22">
        <f>Saldobalance!D219</f>
        <v>52636.39</v>
      </c>
      <c r="I157" s="4">
        <v>20</v>
      </c>
      <c r="M157" s="4"/>
    </row>
    <row r="158" spans="1:15" x14ac:dyDescent="0.25">
      <c r="A158" s="12"/>
      <c r="B158" s="42"/>
      <c r="C158" s="42"/>
      <c r="D158" s="42"/>
      <c r="E158" s="42"/>
      <c r="F158" s="42"/>
      <c r="G158" s="42"/>
      <c r="H158" s="42"/>
      <c r="I158" s="4"/>
      <c r="M158" s="4"/>
    </row>
    <row r="159" spans="1:15" ht="17.399999999999999" x14ac:dyDescent="0.3">
      <c r="I159" s="4"/>
      <c r="M159" s="4"/>
      <c r="N159" s="65"/>
    </row>
    <row r="160" spans="1:15" x14ac:dyDescent="0.25">
      <c r="A160" s="12"/>
      <c r="B160" s="1"/>
      <c r="C160" s="12"/>
      <c r="D160" s="1"/>
      <c r="E160" s="12"/>
      <c r="F160" s="1"/>
      <c r="G160" s="12"/>
      <c r="H160" s="4"/>
      <c r="L160" s="4"/>
      <c r="M160" s="4"/>
      <c r="N160" s="3"/>
      <c r="O160" s="3"/>
    </row>
    <row r="161" spans="1:15" s="8" customFormat="1" ht="17.399999999999999" x14ac:dyDescent="0.3">
      <c r="A161" s="147" t="s">
        <v>352</v>
      </c>
      <c r="H161" s="148"/>
      <c r="L161" s="148"/>
      <c r="M161" s="4"/>
    </row>
    <row r="162" spans="1:15" ht="18" thickBot="1" x14ac:dyDescent="0.35">
      <c r="I162" s="4"/>
      <c r="M162" s="4"/>
      <c r="O162" s="65"/>
    </row>
    <row r="163" spans="1:15" ht="13.8" thickBot="1" x14ac:dyDescent="0.3">
      <c r="A163" s="23" t="str">
        <f>Saldobalance!B141</f>
        <v>Vaskeriet</v>
      </c>
      <c r="B163" s="27" t="str">
        <f>$B$5</f>
        <v xml:space="preserve">Regnskab </v>
      </c>
      <c r="C163" s="28">
        <f>$C$5</f>
        <v>2011</v>
      </c>
      <c r="D163" s="27"/>
      <c r="E163" s="28"/>
      <c r="F163" s="27" t="str">
        <f>$F$5</f>
        <v xml:space="preserve">Regnskab </v>
      </c>
      <c r="G163" s="28">
        <f>$G$5</f>
        <v>2012</v>
      </c>
      <c r="H163" s="4"/>
      <c r="L163" s="4"/>
      <c r="M163" s="4"/>
    </row>
    <row r="164" spans="1:15" x14ac:dyDescent="0.25">
      <c r="A164" s="18"/>
      <c r="B164" s="47" t="s">
        <v>187</v>
      </c>
      <c r="C164" s="48" t="s">
        <v>27</v>
      </c>
      <c r="D164" s="47"/>
      <c r="E164" s="48"/>
      <c r="F164" s="47" t="s">
        <v>187</v>
      </c>
      <c r="G164" s="48" t="s">
        <v>27</v>
      </c>
      <c r="H164" s="4"/>
      <c r="L164" s="4"/>
      <c r="M164" s="4"/>
    </row>
    <row r="165" spans="1:15" x14ac:dyDescent="0.25">
      <c r="A165" s="29" t="s">
        <v>3</v>
      </c>
      <c r="B165" s="32"/>
      <c r="C165" s="33"/>
      <c r="D165" s="32"/>
      <c r="E165" s="33"/>
      <c r="F165" s="32"/>
      <c r="G165" s="33"/>
      <c r="H165" s="4"/>
      <c r="L165" s="4"/>
      <c r="M165" s="4"/>
    </row>
    <row r="166" spans="1:15" x14ac:dyDescent="0.25">
      <c r="A166" s="10" t="str">
        <f>Saldobalance!B142</f>
        <v>Vask opkrævet</v>
      </c>
      <c r="B166" s="55"/>
      <c r="C166" s="11">
        <v>-42015</v>
      </c>
      <c r="D166" s="55"/>
      <c r="E166" s="11"/>
      <c r="F166" s="55"/>
      <c r="G166" s="11">
        <f>Saldobalance!D142</f>
        <v>-37784.839999999997</v>
      </c>
      <c r="H166" s="4"/>
      <c r="L166" s="4"/>
      <c r="M166" s="4"/>
    </row>
    <row r="167" spans="1:15" x14ac:dyDescent="0.25">
      <c r="A167" s="10" t="str">
        <f>Saldobalance!B143</f>
        <v>Vask Fælleshuset</v>
      </c>
      <c r="B167" s="55"/>
      <c r="C167" s="11">
        <v>-4650</v>
      </c>
      <c r="D167" s="55"/>
      <c r="E167" s="11"/>
      <c r="F167" s="55"/>
      <c r="G167" s="11">
        <f>Saldobalance!D143</f>
        <v>-2482.79</v>
      </c>
      <c r="H167" s="4"/>
      <c r="L167" s="4"/>
      <c r="M167" s="4"/>
    </row>
    <row r="168" spans="1:15" x14ac:dyDescent="0.25">
      <c r="A168" s="10" t="str">
        <f>Saldobalance!B144</f>
        <v>Vaskemidler</v>
      </c>
      <c r="B168" s="55">
        <v>20591.68</v>
      </c>
      <c r="C168" s="11"/>
      <c r="D168" s="55"/>
      <c r="E168" s="11"/>
      <c r="F168" s="55">
        <f>Saldobalance!D144</f>
        <v>21354.080000000002</v>
      </c>
      <c r="G168" s="11"/>
      <c r="H168" s="4"/>
      <c r="L168" s="4"/>
      <c r="M168" s="4"/>
    </row>
    <row r="169" spans="1:15" x14ac:dyDescent="0.25">
      <c r="A169" s="10" t="str">
        <f>Saldobalance!B145</f>
        <v>EL</v>
      </c>
      <c r="B169" s="55">
        <v>2157</v>
      </c>
      <c r="C169" s="11"/>
      <c r="D169" s="55"/>
      <c r="E169" s="11"/>
      <c r="F169" s="55">
        <f>Saldobalance!D145</f>
        <v>1981</v>
      </c>
      <c r="G169" s="11"/>
      <c r="H169" s="4"/>
      <c r="L169" s="4"/>
      <c r="M169" s="4"/>
    </row>
    <row r="170" spans="1:15" x14ac:dyDescent="0.25">
      <c r="A170" s="10" t="str">
        <f>Saldobalance!B146</f>
        <v>Gas</v>
      </c>
      <c r="B170" s="55">
        <v>8606</v>
      </c>
      <c r="C170" s="11"/>
      <c r="D170" s="55"/>
      <c r="E170" s="11"/>
      <c r="F170" s="55">
        <f>Saldobalance!D146</f>
        <v>6718</v>
      </c>
      <c r="G170" s="11"/>
      <c r="H170" s="4"/>
      <c r="L170" s="4"/>
      <c r="M170" s="4"/>
    </row>
    <row r="171" spans="1:15" x14ac:dyDescent="0.25">
      <c r="A171" s="10" t="str">
        <f>Saldobalance!B147</f>
        <v>Vand</v>
      </c>
      <c r="B171" s="55">
        <v>10319</v>
      </c>
      <c r="C171" s="11"/>
      <c r="D171" s="55"/>
      <c r="E171" s="11"/>
      <c r="F171" s="55">
        <f>Saldobalance!D147</f>
        <v>10214</v>
      </c>
      <c r="G171" s="11"/>
      <c r="H171" s="4"/>
      <c r="L171" s="4"/>
      <c r="M171" s="4"/>
    </row>
    <row r="172" spans="1:15" x14ac:dyDescent="0.25">
      <c r="A172" s="10" t="str">
        <f>Saldobalance!B148</f>
        <v>Salttabletter</v>
      </c>
      <c r="B172" s="55">
        <v>1576</v>
      </c>
      <c r="C172" s="11"/>
      <c r="D172" s="55"/>
      <c r="E172" s="11"/>
      <c r="F172" s="55">
        <f>Saldobalance!D148</f>
        <v>0</v>
      </c>
      <c r="G172" s="11"/>
      <c r="H172" s="4"/>
      <c r="L172" s="4"/>
      <c r="M172" s="4"/>
    </row>
    <row r="173" spans="1:15" ht="13.8" thickBot="1" x14ac:dyDescent="0.3">
      <c r="A173" s="21" t="str">
        <f>Saldobalance!B149</f>
        <v>Vaskeriet i alt</v>
      </c>
      <c r="B173" s="37"/>
      <c r="C173" s="7">
        <v>-3415.7599999999998</v>
      </c>
      <c r="D173" s="37"/>
      <c r="E173" s="7"/>
      <c r="F173" s="37"/>
      <c r="G173" s="7">
        <f>Saldobalance!D149</f>
        <v>-0.54999999999563443</v>
      </c>
      <c r="H173" s="4"/>
      <c r="L173" s="4"/>
      <c r="M173" s="4"/>
    </row>
    <row r="174" spans="1:15" x14ac:dyDescent="0.25">
      <c r="M174" s="4"/>
    </row>
    <row r="175" spans="1:15" ht="13.8" thickBot="1" x14ac:dyDescent="0.3">
      <c r="H175" s="4"/>
      <c r="L175" s="4"/>
      <c r="M175" s="4"/>
    </row>
    <row r="176" spans="1:15" ht="13.8" thickBot="1" x14ac:dyDescent="0.3">
      <c r="A176" s="23" t="str">
        <f>Saldobalance!B165</f>
        <v>Renovation</v>
      </c>
      <c r="B176" s="27" t="str">
        <f>$B$5</f>
        <v xml:space="preserve">Regnskab </v>
      </c>
      <c r="C176" s="28">
        <f>$C$5</f>
        <v>2011</v>
      </c>
      <c r="D176" s="27"/>
      <c r="E176" s="28"/>
      <c r="F176" s="27" t="str">
        <f>$F$5</f>
        <v xml:space="preserve">Regnskab </v>
      </c>
      <c r="G176" s="28">
        <f>$G$5</f>
        <v>2012</v>
      </c>
      <c r="H176" s="4"/>
      <c r="L176" s="4"/>
      <c r="M176" s="4"/>
    </row>
    <row r="177" spans="1:15" x14ac:dyDescent="0.25">
      <c r="A177" s="18"/>
      <c r="B177" s="47" t="s">
        <v>187</v>
      </c>
      <c r="C177" s="48" t="s">
        <v>27</v>
      </c>
      <c r="D177" s="47"/>
      <c r="E177" s="48"/>
      <c r="F177" s="47" t="s">
        <v>187</v>
      </c>
      <c r="G177" s="48" t="s">
        <v>27</v>
      </c>
      <c r="H177" s="4"/>
      <c r="L177" s="4"/>
      <c r="M177" s="4"/>
    </row>
    <row r="178" spans="1:15" x14ac:dyDescent="0.25">
      <c r="A178" s="29" t="s">
        <v>3</v>
      </c>
      <c r="B178" s="32"/>
      <c r="C178" s="33"/>
      <c r="D178" s="32"/>
      <c r="E178" s="33"/>
      <c r="F178" s="32"/>
      <c r="G178" s="33"/>
      <c r="H178" s="4"/>
      <c r="L178" s="4"/>
      <c r="M178" s="4"/>
    </row>
    <row r="179" spans="1:15" x14ac:dyDescent="0.25">
      <c r="A179" s="10" t="str">
        <f>Saldobalance!B166</f>
        <v>Renovation opkrævet</v>
      </c>
      <c r="B179" s="55"/>
      <c r="C179" s="11">
        <v>-36000</v>
      </c>
      <c r="D179" s="55"/>
      <c r="E179" s="11"/>
      <c r="F179" s="55"/>
      <c r="G179" s="11">
        <f>Saldobalance!D166</f>
        <v>-69550</v>
      </c>
      <c r="H179" s="4"/>
      <c r="L179" s="4"/>
      <c r="M179" s="4"/>
    </row>
    <row r="180" spans="1:15" x14ac:dyDescent="0.25">
      <c r="A180" s="10" t="str">
        <f>Saldobalance!B167</f>
        <v>Renovation Fælleshuset</v>
      </c>
      <c r="B180" s="55"/>
      <c r="C180" s="11">
        <v>-53130</v>
      </c>
      <c r="D180" s="55"/>
      <c r="E180" s="11"/>
      <c r="F180" s="55"/>
      <c r="G180" s="11">
        <f>Saldobalance!D167</f>
        <v>-9876</v>
      </c>
      <c r="H180" s="4"/>
      <c r="L180" s="4"/>
      <c r="M180" s="4"/>
    </row>
    <row r="181" spans="1:15" x14ac:dyDescent="0.25">
      <c r="A181" s="10" t="str">
        <f>Saldobalance!B168</f>
        <v>Renovation Fredensborg Forsyning</v>
      </c>
      <c r="B181" s="55">
        <v>89131.3</v>
      </c>
      <c r="C181" s="11"/>
      <c r="D181" s="55"/>
      <c r="E181" s="11"/>
      <c r="F181" s="55">
        <f>Saldobalance!D168</f>
        <v>79452.38</v>
      </c>
      <c r="G181" s="11"/>
      <c r="H181" s="4"/>
      <c r="L181" s="4"/>
      <c r="M181" s="4"/>
    </row>
    <row r="182" spans="1:15" ht="13.8" thickBot="1" x14ac:dyDescent="0.3">
      <c r="A182" s="21" t="str">
        <f>Saldobalance!B169</f>
        <v>Renovation i alt</v>
      </c>
      <c r="B182" s="41"/>
      <c r="C182" s="22">
        <v>1.3000000000029104</v>
      </c>
      <c r="D182" s="41"/>
      <c r="E182" s="22"/>
      <c r="F182" s="41"/>
      <c r="G182" s="22">
        <f>Saldobalance!D169</f>
        <v>26.380000000004657</v>
      </c>
      <c r="H182" s="4"/>
      <c r="L182" s="4"/>
      <c r="M182" s="4"/>
    </row>
    <row r="183" spans="1:15" x14ac:dyDescent="0.25">
      <c r="H183" s="4"/>
      <c r="L183" s="4"/>
      <c r="M183" s="4"/>
    </row>
    <row r="184" spans="1:15" ht="13.8" thickBot="1" x14ac:dyDescent="0.3">
      <c r="H184" s="4"/>
      <c r="L184" s="4"/>
      <c r="M184" s="4"/>
    </row>
    <row r="185" spans="1:15" ht="13.8" thickBot="1" x14ac:dyDescent="0.3">
      <c r="A185" s="23" t="str">
        <f>Saldobalance!B171</f>
        <v>TV</v>
      </c>
      <c r="B185" s="27" t="str">
        <f>$B$5</f>
        <v xml:space="preserve">Regnskab </v>
      </c>
      <c r="C185" s="28">
        <f>$C$5</f>
        <v>2011</v>
      </c>
      <c r="D185" s="27"/>
      <c r="E185" s="28"/>
      <c r="F185" s="27" t="str">
        <f>$F$5</f>
        <v xml:space="preserve">Regnskab </v>
      </c>
      <c r="G185" s="28">
        <f>$G$5</f>
        <v>2012</v>
      </c>
      <c r="H185" s="4"/>
      <c r="L185" s="4"/>
      <c r="M185" s="4"/>
    </row>
    <row r="186" spans="1:15" x14ac:dyDescent="0.25">
      <c r="A186" s="18"/>
      <c r="B186" s="47" t="s">
        <v>187</v>
      </c>
      <c r="C186" s="48" t="s">
        <v>27</v>
      </c>
      <c r="D186" s="47"/>
      <c r="E186" s="48"/>
      <c r="F186" s="47" t="s">
        <v>187</v>
      </c>
      <c r="G186" s="48" t="s">
        <v>27</v>
      </c>
      <c r="H186" s="4"/>
      <c r="L186" s="4"/>
      <c r="M186" s="4"/>
    </row>
    <row r="187" spans="1:15" x14ac:dyDescent="0.25">
      <c r="A187" s="29" t="s">
        <v>3</v>
      </c>
      <c r="B187" s="32"/>
      <c r="C187" s="33"/>
      <c r="D187" s="32"/>
      <c r="E187" s="33"/>
      <c r="F187" s="32"/>
      <c r="G187" s="33"/>
      <c r="H187" s="4"/>
      <c r="L187" s="4"/>
      <c r="M187" s="4"/>
    </row>
    <row r="188" spans="1:15" x14ac:dyDescent="0.25">
      <c r="A188" s="10" t="str">
        <f>Saldobalance!B172</f>
        <v>TV opkrævet</v>
      </c>
      <c r="B188" s="55"/>
      <c r="C188" s="11">
        <v>-62211.199999999997</v>
      </c>
      <c r="D188" s="55"/>
      <c r="E188" s="11"/>
      <c r="F188" s="55"/>
      <c r="G188" s="11">
        <f>Saldobalance!D172</f>
        <v>-73051</v>
      </c>
      <c r="H188" s="4"/>
      <c r="L188" s="4"/>
      <c r="M188" s="4"/>
    </row>
    <row r="189" spans="1:15" x14ac:dyDescent="0.25">
      <c r="A189" s="10" t="str">
        <f>Saldobalance!B173</f>
        <v>TV Fælleshuset</v>
      </c>
      <c r="B189" s="55"/>
      <c r="C189" s="11">
        <v>-3679.7</v>
      </c>
      <c r="D189" s="55"/>
      <c r="E189" s="11"/>
      <c r="F189" s="55"/>
      <c r="G189" s="11">
        <f>Saldobalance!D173</f>
        <v>-3980</v>
      </c>
      <c r="H189" s="4"/>
      <c r="I189" s="3"/>
      <c r="J189" s="3"/>
      <c r="L189" s="4"/>
      <c r="M189" s="4"/>
    </row>
    <row r="190" spans="1:15" s="3" customFormat="1" x14ac:dyDescent="0.25">
      <c r="A190" s="10" t="str">
        <f>Saldobalance!B174</f>
        <v>YouSee og andre</v>
      </c>
      <c r="B190" s="54">
        <v>65803.31</v>
      </c>
      <c r="C190" s="11"/>
      <c r="D190" s="54"/>
      <c r="E190" s="11"/>
      <c r="F190" s="54">
        <f>Saldobalance!D174</f>
        <v>77035.39</v>
      </c>
      <c r="G190" s="11"/>
      <c r="H190" s="4"/>
      <c r="I190" s="4"/>
      <c r="J190" s="20"/>
      <c r="L190" s="4"/>
      <c r="M190" s="4"/>
      <c r="N190" s="20"/>
      <c r="O190" s="20"/>
    </row>
    <row r="191" spans="1:15" ht="13.8" thickBot="1" x14ac:dyDescent="0.3">
      <c r="A191" s="21" t="str">
        <f>Saldobalance!B175</f>
        <v>TV i alt</v>
      </c>
      <c r="B191" s="37"/>
      <c r="C191" s="7">
        <v>-87.589999999996508</v>
      </c>
      <c r="D191" s="37"/>
      <c r="E191" s="7"/>
      <c r="F191" s="37"/>
      <c r="G191" s="7">
        <f>Saldobalance!D175</f>
        <v>4.3899999999994179</v>
      </c>
      <c r="H191" s="4"/>
      <c r="I191" s="4"/>
      <c r="L191" s="4"/>
      <c r="M191" s="4"/>
      <c r="N191" s="3"/>
      <c r="O191" s="3"/>
    </row>
    <row r="192" spans="1:15" x14ac:dyDescent="0.25">
      <c r="H192" s="4"/>
      <c r="L192" s="4"/>
      <c r="M192" s="4"/>
    </row>
    <row r="193" spans="1:15" ht="13.8" thickBot="1" x14ac:dyDescent="0.3">
      <c r="H193" s="4"/>
      <c r="L193" s="4"/>
      <c r="M193" s="4"/>
    </row>
    <row r="194" spans="1:15" ht="13.8" thickBot="1" x14ac:dyDescent="0.3">
      <c r="A194" s="23" t="str">
        <f>Saldobalance!B189</f>
        <v>Deltagerbetalte arrangementer</v>
      </c>
      <c r="B194" s="27" t="str">
        <f>$B$5</f>
        <v xml:space="preserve">Regnskab </v>
      </c>
      <c r="C194" s="28">
        <f>$C$5</f>
        <v>2011</v>
      </c>
      <c r="D194" s="27"/>
      <c r="E194" s="28"/>
      <c r="F194" s="27" t="str">
        <f>$F$5</f>
        <v xml:space="preserve">Regnskab </v>
      </c>
      <c r="G194" s="28">
        <f>$G$5</f>
        <v>2012</v>
      </c>
      <c r="H194" s="4"/>
      <c r="L194" s="4"/>
      <c r="M194" s="4"/>
    </row>
    <row r="195" spans="1:15" x14ac:dyDescent="0.25">
      <c r="A195" s="18"/>
      <c r="B195" s="47" t="s">
        <v>187</v>
      </c>
      <c r="C195" s="48" t="s">
        <v>27</v>
      </c>
      <c r="D195" s="47"/>
      <c r="E195" s="48"/>
      <c r="F195" s="47" t="s">
        <v>187</v>
      </c>
      <c r="G195" s="48" t="s">
        <v>27</v>
      </c>
      <c r="H195" s="4"/>
      <c r="L195" s="4"/>
      <c r="M195" s="4"/>
    </row>
    <row r="196" spans="1:15" x14ac:dyDescent="0.25">
      <c r="A196" s="29" t="s">
        <v>3</v>
      </c>
      <c r="B196" s="32"/>
      <c r="C196" s="33"/>
      <c r="D196" s="32"/>
      <c r="E196" s="33"/>
      <c r="F196" s="32"/>
      <c r="G196" s="33"/>
      <c r="H196" s="4"/>
      <c r="L196" s="4"/>
      <c r="M196" s="4"/>
    </row>
    <row r="197" spans="1:15" x14ac:dyDescent="0.25">
      <c r="A197" s="10" t="str">
        <f>Saldobalance!B190</f>
        <v>Kultur opkrævet</v>
      </c>
      <c r="B197" s="55"/>
      <c r="C197" s="11">
        <v>-16527.8</v>
      </c>
      <c r="D197" s="55"/>
      <c r="E197" s="11"/>
      <c r="F197" s="55"/>
      <c r="G197" s="11">
        <f>Saldobalance!D190</f>
        <v>-14690.22</v>
      </c>
      <c r="H197" s="4"/>
      <c r="I197" s="3"/>
      <c r="J197" s="3"/>
      <c r="L197" s="4"/>
      <c r="M197" s="4"/>
    </row>
    <row r="198" spans="1:15" s="3" customFormat="1" x14ac:dyDescent="0.25">
      <c r="A198" s="10" t="str">
        <f>Saldobalance!B191</f>
        <v>Kultur udlæg</v>
      </c>
      <c r="B198" s="54">
        <v>16513.55</v>
      </c>
      <c r="C198" s="11"/>
      <c r="D198" s="54"/>
      <c r="E198" s="11"/>
      <c r="F198" s="54">
        <f>Saldobalance!D191</f>
        <v>14691.37</v>
      </c>
      <c r="G198" s="11"/>
      <c r="H198" s="4"/>
      <c r="I198" s="20"/>
      <c r="J198" s="20"/>
      <c r="L198" s="4"/>
      <c r="M198" s="4"/>
      <c r="N198" s="20"/>
      <c r="O198" s="20"/>
    </row>
    <row r="199" spans="1:15" ht="13.8" thickBot="1" x14ac:dyDescent="0.3">
      <c r="A199" s="21" t="str">
        <f>Saldobalance!B192</f>
        <v>Deltagerbetalte arrangementer i alt</v>
      </c>
      <c r="B199" s="37"/>
      <c r="C199" s="7">
        <v>-14.25</v>
      </c>
      <c r="D199" s="37"/>
      <c r="E199" s="7"/>
      <c r="F199" s="37"/>
      <c r="G199" s="7">
        <f>Saldobalance!D192</f>
        <v>1.1500000000014552</v>
      </c>
      <c r="H199" s="4"/>
      <c r="L199" s="4"/>
      <c r="M199" s="4"/>
      <c r="N199" s="3"/>
      <c r="O199" s="3"/>
    </row>
    <row r="200" spans="1:15" x14ac:dyDescent="0.25">
      <c r="H200" s="4"/>
      <c r="L200" s="4"/>
      <c r="M200" s="4"/>
    </row>
    <row r="201" spans="1:15" ht="13.8" thickBot="1" x14ac:dyDescent="0.3">
      <c r="H201" s="4"/>
      <c r="L201" s="4"/>
      <c r="M201" s="4"/>
    </row>
    <row r="202" spans="1:15" ht="13.8" thickBot="1" x14ac:dyDescent="0.3">
      <c r="A202" s="23" t="str">
        <f>Saldobalance!B177</f>
        <v>Fadøl</v>
      </c>
      <c r="B202" s="27" t="str">
        <f>$B$5</f>
        <v xml:space="preserve">Regnskab </v>
      </c>
      <c r="C202" s="28">
        <f>$C$5</f>
        <v>2011</v>
      </c>
      <c r="D202" s="27"/>
      <c r="E202" s="28"/>
      <c r="F202" s="27" t="str">
        <f>$F$5</f>
        <v xml:space="preserve">Regnskab </v>
      </c>
      <c r="G202" s="28">
        <f>$G$5</f>
        <v>2012</v>
      </c>
      <c r="H202" s="4"/>
      <c r="L202" s="4"/>
      <c r="M202" s="4"/>
    </row>
    <row r="203" spans="1:15" x14ac:dyDescent="0.25">
      <c r="A203" s="18"/>
      <c r="B203" s="47" t="s">
        <v>187</v>
      </c>
      <c r="C203" s="48" t="s">
        <v>27</v>
      </c>
      <c r="D203" s="47"/>
      <c r="E203" s="48"/>
      <c r="F203" s="47" t="s">
        <v>187</v>
      </c>
      <c r="G203" s="48" t="s">
        <v>27</v>
      </c>
      <c r="H203" s="4"/>
      <c r="L203" s="4"/>
      <c r="M203" s="4"/>
    </row>
    <row r="204" spans="1:15" x14ac:dyDescent="0.25">
      <c r="A204" s="29" t="s">
        <v>3</v>
      </c>
      <c r="B204" s="32"/>
      <c r="C204" s="33"/>
      <c r="D204" s="32"/>
      <c r="E204" s="33"/>
      <c r="F204" s="32"/>
      <c r="G204" s="33"/>
      <c r="H204" s="4"/>
      <c r="L204" s="4"/>
      <c r="M204" s="4"/>
    </row>
    <row r="205" spans="1:15" x14ac:dyDescent="0.25">
      <c r="A205" s="10" t="str">
        <f>Saldobalance!B178</f>
        <v>Øl opkrævet</v>
      </c>
      <c r="B205" s="55"/>
      <c r="C205" s="11">
        <v>-20685</v>
      </c>
      <c r="D205" s="55"/>
      <c r="E205" s="11"/>
      <c r="F205" s="55"/>
      <c r="G205" s="11">
        <f>Saldobalance!D178</f>
        <v>-19627.5</v>
      </c>
      <c r="H205" s="4"/>
      <c r="L205" s="4"/>
      <c r="M205" s="4"/>
    </row>
    <row r="206" spans="1:15" x14ac:dyDescent="0.25">
      <c r="A206" s="10" t="str">
        <f>Saldobalance!B179</f>
        <v>Øl Fælleshuset</v>
      </c>
      <c r="B206" s="55"/>
      <c r="C206" s="11">
        <v>-5565</v>
      </c>
      <c r="D206" s="55"/>
      <c r="E206" s="11"/>
      <c r="F206" s="55"/>
      <c r="G206" s="11">
        <f>Saldobalance!D179</f>
        <v>-2930</v>
      </c>
      <c r="H206" s="4"/>
      <c r="I206" s="3"/>
      <c r="J206" s="3"/>
      <c r="L206" s="4"/>
      <c r="M206" s="4"/>
    </row>
    <row r="207" spans="1:15" x14ac:dyDescent="0.25">
      <c r="A207" s="10" t="str">
        <f>Saldobalance!B180</f>
        <v>Regulering af lagerbeholdning</v>
      </c>
      <c r="B207" s="55">
        <v>4059</v>
      </c>
      <c r="C207" s="11"/>
      <c r="D207" s="55"/>
      <c r="E207" s="11"/>
      <c r="F207" s="55">
        <f>Saldobalance!D180</f>
        <v>-1450</v>
      </c>
      <c r="G207" s="11"/>
      <c r="H207" s="4"/>
      <c r="I207" s="3"/>
      <c r="J207" s="3"/>
      <c r="L207" s="4"/>
      <c r="M207" s="4"/>
    </row>
    <row r="208" spans="1:15" s="3" customFormat="1" x14ac:dyDescent="0.25">
      <c r="A208" s="10" t="str">
        <f>Saldobalance!B181</f>
        <v>Tuborg og andre</v>
      </c>
      <c r="B208" s="55">
        <v>21589.45</v>
      </c>
      <c r="C208" s="11"/>
      <c r="D208" s="54"/>
      <c r="E208" s="11"/>
      <c r="F208" s="54">
        <f>Saldobalance!D181</f>
        <v>22316.400000000001</v>
      </c>
      <c r="G208" s="11"/>
      <c r="H208" s="4"/>
      <c r="I208" s="20"/>
      <c r="J208" s="20"/>
      <c r="L208" s="4"/>
      <c r="M208" s="4"/>
      <c r="N208" s="20"/>
      <c r="O208" s="20"/>
    </row>
    <row r="209" spans="1:15" ht="13.8" thickBot="1" x14ac:dyDescent="0.3">
      <c r="A209" s="21" t="str">
        <f>Saldobalance!B182</f>
        <v>Fadøl i alt</v>
      </c>
      <c r="B209" s="37"/>
      <c r="C209" s="7">
        <v>-601.54999999999927</v>
      </c>
      <c r="D209" s="37"/>
      <c r="E209" s="7"/>
      <c r="F209" s="37"/>
      <c r="G209" s="7">
        <f>Saldobalance!D182</f>
        <v>-1691.0999999999985</v>
      </c>
      <c r="H209" s="4"/>
      <c r="L209" s="4"/>
      <c r="M209" s="4"/>
      <c r="N209" s="3"/>
      <c r="O209" s="3"/>
    </row>
    <row r="210" spans="1:15" x14ac:dyDescent="0.25">
      <c r="A210" s="12"/>
      <c r="B210" s="1"/>
      <c r="C210" s="12"/>
      <c r="D210" s="1"/>
      <c r="E210" s="12"/>
      <c r="F210" s="1"/>
      <c r="G210" s="12"/>
      <c r="H210" s="4"/>
      <c r="L210" s="4"/>
      <c r="M210" s="4"/>
      <c r="N210" s="3"/>
      <c r="O210" s="3"/>
    </row>
    <row r="211" spans="1:15" x14ac:dyDescent="0.25">
      <c r="A211" s="12"/>
      <c r="B211" s="1"/>
      <c r="C211" s="12"/>
      <c r="D211" s="1"/>
      <c r="E211" s="12"/>
      <c r="F211" s="1"/>
      <c r="G211" s="12"/>
      <c r="H211" s="4"/>
      <c r="L211" s="4"/>
      <c r="M211" s="4"/>
      <c r="N211" s="3"/>
      <c r="O211" s="3"/>
    </row>
    <row r="212" spans="1:15" s="8" customFormat="1" ht="17.399999999999999" x14ac:dyDescent="0.3">
      <c r="A212" s="147" t="s">
        <v>344</v>
      </c>
      <c r="H212" s="148"/>
      <c r="L212" s="148"/>
      <c r="M212" s="4"/>
    </row>
    <row r="213" spans="1:15" ht="13.8" thickBot="1" x14ac:dyDescent="0.3">
      <c r="H213" s="4"/>
      <c r="L213" s="4"/>
      <c r="M213" s="4"/>
    </row>
    <row r="214" spans="1:15" ht="13.8" thickBot="1" x14ac:dyDescent="0.3">
      <c r="A214" s="23" t="str">
        <f>Saldobalance!B151</f>
        <v>Vand</v>
      </c>
      <c r="B214" s="27" t="str">
        <f>$B$5</f>
        <v xml:space="preserve">Regnskab </v>
      </c>
      <c r="C214" s="28">
        <f>$C$5</f>
        <v>2011</v>
      </c>
      <c r="D214" s="27"/>
      <c r="E214" s="28"/>
      <c r="F214" s="27" t="str">
        <f>$F$5</f>
        <v xml:space="preserve">Regnskab </v>
      </c>
      <c r="G214" s="28">
        <f>$G$5</f>
        <v>2012</v>
      </c>
      <c r="H214" s="4"/>
      <c r="L214" s="4"/>
      <c r="M214" s="4"/>
    </row>
    <row r="215" spans="1:15" x14ac:dyDescent="0.25">
      <c r="A215" s="18"/>
      <c r="B215" s="47" t="s">
        <v>187</v>
      </c>
      <c r="C215" s="48" t="s">
        <v>27</v>
      </c>
      <c r="D215" s="47"/>
      <c r="E215" s="48"/>
      <c r="F215" s="47" t="s">
        <v>187</v>
      </c>
      <c r="G215" s="48" t="s">
        <v>27</v>
      </c>
      <c r="H215" s="4"/>
      <c r="L215" s="4"/>
      <c r="M215" s="4"/>
    </row>
    <row r="216" spans="1:15" x14ac:dyDescent="0.25">
      <c r="A216" s="29" t="s">
        <v>3</v>
      </c>
      <c r="B216" s="32"/>
      <c r="C216" s="33"/>
      <c r="D216" s="32"/>
      <c r="E216" s="33"/>
      <c r="F216" s="32"/>
      <c r="G216" s="33"/>
      <c r="H216" s="4"/>
      <c r="L216" s="4"/>
      <c r="M216" s="4"/>
    </row>
    <row r="217" spans="1:15" x14ac:dyDescent="0.25">
      <c r="A217" s="10" t="str">
        <f>Saldobalance!B152</f>
        <v>Vand opkrævet</v>
      </c>
      <c r="B217" s="55"/>
      <c r="C217" s="11">
        <v>-156808</v>
      </c>
      <c r="D217" s="55"/>
      <c r="E217" s="11"/>
      <c r="F217" s="55"/>
      <c r="G217" s="11">
        <f>Saldobalance!D152</f>
        <v>-155865</v>
      </c>
      <c r="H217" s="4"/>
      <c r="L217" s="4"/>
      <c r="M217" s="4"/>
    </row>
    <row r="218" spans="1:15" x14ac:dyDescent="0.25">
      <c r="A218" s="10" t="str">
        <f>Saldobalance!B153</f>
        <v>Vand Fælleshuset</v>
      </c>
      <c r="B218" s="55"/>
      <c r="C218" s="11">
        <v>-9380</v>
      </c>
      <c r="D218" s="55"/>
      <c r="E218" s="11"/>
      <c r="F218" s="55"/>
      <c r="G218" s="11">
        <f>Saldobalance!D153</f>
        <v>-32306</v>
      </c>
      <c r="H218" s="4"/>
      <c r="I218" s="3"/>
      <c r="J218" s="3"/>
      <c r="L218" s="4"/>
      <c r="M218" s="4"/>
    </row>
    <row r="219" spans="1:15" s="3" customFormat="1" x14ac:dyDescent="0.25">
      <c r="A219" s="10" t="str">
        <f>Saldobalance!B154</f>
        <v>Vand vaskeriet</v>
      </c>
      <c r="B219" s="54"/>
      <c r="C219" s="11">
        <v>-10319</v>
      </c>
      <c r="D219" s="54"/>
      <c r="E219" s="11"/>
      <c r="F219" s="55"/>
      <c r="G219" s="11">
        <f>Saldobalance!D154</f>
        <v>-10214</v>
      </c>
      <c r="H219" s="4"/>
      <c r="I219" s="20"/>
      <c r="J219" s="20"/>
      <c r="L219" s="4"/>
      <c r="M219" s="4"/>
      <c r="N219" s="20"/>
      <c r="O219" s="20"/>
    </row>
    <row r="220" spans="1:15" x14ac:dyDescent="0.25">
      <c r="A220" s="10" t="str">
        <f>Saldobalance!B155</f>
        <v>Vand Fredensborg Forsyning</v>
      </c>
      <c r="B220" s="55">
        <v>204007.31</v>
      </c>
      <c r="C220" s="11"/>
      <c r="D220" s="55"/>
      <c r="E220" s="11"/>
      <c r="F220" s="55">
        <f>Saldobalance!D155</f>
        <v>180052.67</v>
      </c>
      <c r="G220" s="11"/>
      <c r="H220" s="4"/>
      <c r="L220" s="4"/>
      <c r="N220" s="3"/>
      <c r="O220" s="3"/>
    </row>
    <row r="221" spans="1:15" ht="13.8" thickBot="1" x14ac:dyDescent="0.3">
      <c r="A221" s="21" t="str">
        <f>Saldobalance!B156</f>
        <v>Vand i alt</v>
      </c>
      <c r="B221" s="37"/>
      <c r="C221" s="7">
        <v>27500.31</v>
      </c>
      <c r="D221" s="37"/>
      <c r="E221" s="7"/>
      <c r="F221" s="37"/>
      <c r="G221" s="7">
        <f>Saldobalance!D156</f>
        <v>-18332.329999999987</v>
      </c>
      <c r="H221" s="4"/>
      <c r="L221" s="4"/>
    </row>
    <row r="222" spans="1:15" x14ac:dyDescent="0.25">
      <c r="H222" s="4"/>
      <c r="L222" s="4"/>
    </row>
    <row r="223" spans="1:15" ht="13.8" thickBot="1" x14ac:dyDescent="0.3">
      <c r="H223" s="4"/>
      <c r="L223" s="4"/>
    </row>
    <row r="224" spans="1:15" ht="13.8" thickBot="1" x14ac:dyDescent="0.3">
      <c r="A224" s="23" t="str">
        <f>Saldobalance!B158</f>
        <v>Varme</v>
      </c>
      <c r="B224" s="27" t="str">
        <f>$B$5</f>
        <v xml:space="preserve">Regnskab </v>
      </c>
      <c r="C224" s="28">
        <f>$C$5</f>
        <v>2011</v>
      </c>
      <c r="D224" s="27"/>
      <c r="E224" s="28"/>
      <c r="F224" s="27" t="str">
        <f>$F$5</f>
        <v xml:space="preserve">Regnskab </v>
      </c>
      <c r="G224" s="28">
        <f>$G$5</f>
        <v>2012</v>
      </c>
      <c r="H224" s="4"/>
      <c r="L224" s="4"/>
    </row>
    <row r="225" spans="1:15" x14ac:dyDescent="0.25">
      <c r="A225" s="18"/>
      <c r="B225" s="47" t="s">
        <v>187</v>
      </c>
      <c r="C225" s="48" t="s">
        <v>27</v>
      </c>
      <c r="D225" s="47"/>
      <c r="E225" s="48"/>
      <c r="F225" s="47" t="s">
        <v>187</v>
      </c>
      <c r="G225" s="48" t="s">
        <v>27</v>
      </c>
      <c r="H225" s="4"/>
      <c r="L225" s="4"/>
    </row>
    <row r="226" spans="1:15" x14ac:dyDescent="0.25">
      <c r="A226" s="29" t="s">
        <v>3</v>
      </c>
      <c r="B226" s="32"/>
      <c r="C226" s="33"/>
      <c r="D226" s="32"/>
      <c r="E226" s="33"/>
      <c r="F226" s="32"/>
      <c r="G226" s="33"/>
      <c r="H226" s="4"/>
      <c r="L226" s="4"/>
    </row>
    <row r="227" spans="1:15" x14ac:dyDescent="0.25">
      <c r="A227" s="10" t="str">
        <f>Saldobalance!B159</f>
        <v>Varme opkrævet</v>
      </c>
      <c r="B227" s="55"/>
      <c r="C227" s="11">
        <v>-404294</v>
      </c>
      <c r="D227" s="55"/>
      <c r="E227" s="11"/>
      <c r="F227" s="55"/>
      <c r="G227" s="11">
        <f>Saldobalance!D159</f>
        <v>-310822</v>
      </c>
      <c r="H227" s="4"/>
      <c r="L227" s="4"/>
    </row>
    <row r="228" spans="1:15" x14ac:dyDescent="0.25">
      <c r="A228" s="10" t="str">
        <f>Saldobalance!B160</f>
        <v>Varme Fælleshuset</v>
      </c>
      <c r="B228" s="55"/>
      <c r="C228" s="11">
        <v>-54906</v>
      </c>
      <c r="D228" s="55"/>
      <c r="E228" s="11"/>
      <c r="F228" s="55"/>
      <c r="G228" s="11">
        <f>Saldobalance!D160</f>
        <v>-54796</v>
      </c>
      <c r="H228" s="4"/>
      <c r="I228" s="3"/>
      <c r="J228" s="3"/>
      <c r="L228" s="4"/>
      <c r="M228" s="3"/>
    </row>
    <row r="229" spans="1:15" s="3" customFormat="1" x14ac:dyDescent="0.25">
      <c r="A229" s="10" t="str">
        <f>Saldobalance!B161</f>
        <v>Gas vaskeriet</v>
      </c>
      <c r="B229" s="54"/>
      <c r="C229" s="11">
        <v>-8606</v>
      </c>
      <c r="D229" s="54"/>
      <c r="E229" s="11"/>
      <c r="F229" s="54"/>
      <c r="G229" s="11">
        <f>Saldobalance!D161</f>
        <v>-6718</v>
      </c>
      <c r="H229" s="4"/>
      <c r="L229" s="4"/>
      <c r="N229" s="20"/>
      <c r="O229" s="20"/>
    </row>
    <row r="230" spans="1:15" s="3" customFormat="1" x14ac:dyDescent="0.25">
      <c r="A230" s="10" t="str">
        <f>Saldobalance!B162</f>
        <v>HNG</v>
      </c>
      <c r="B230" s="54">
        <v>443087.05</v>
      </c>
      <c r="C230" s="11"/>
      <c r="D230" s="54"/>
      <c r="E230" s="11"/>
      <c r="F230" s="54">
        <f>Saldobalance!D162</f>
        <v>359538.49</v>
      </c>
      <c r="G230" s="11"/>
      <c r="H230" s="4"/>
      <c r="I230" s="20"/>
      <c r="J230" s="20"/>
      <c r="L230" s="4"/>
      <c r="M230" s="20"/>
    </row>
    <row r="231" spans="1:15" ht="13.8" thickBot="1" x14ac:dyDescent="0.3">
      <c r="A231" s="21" t="str">
        <f>Saldobalance!B163</f>
        <v>Varme i alt</v>
      </c>
      <c r="B231" s="37"/>
      <c r="C231" s="7">
        <v>-24718.95</v>
      </c>
      <c r="D231" s="37"/>
      <c r="E231" s="7"/>
      <c r="F231" s="37"/>
      <c r="G231" s="7">
        <f>Saldobalance!D163</f>
        <v>-12797.510000000009</v>
      </c>
      <c r="H231" s="4"/>
      <c r="L231" s="4"/>
      <c r="N231" s="3"/>
      <c r="O231" s="3"/>
    </row>
  </sheetData>
  <protectedRanges>
    <protectedRange sqref="J132:J135" name="Område20"/>
    <protectedRange sqref="J129" name="Område19"/>
    <protectedRange sqref="J123:J125" name="Område18"/>
    <protectedRange sqref="J116:J120" name="Område17"/>
    <protectedRange sqref="J110:J113" name="Område16"/>
    <protectedRange sqref="J103:J107" name="Område15"/>
    <protectedRange sqref="K100" name="Område14"/>
    <protectedRange sqref="K98" name="Område13"/>
    <protectedRange sqref="B2 D2 F2 H2" name="Område1"/>
    <protectedRange sqref="O4:O5" name="Område2"/>
    <protectedRange sqref="B175:C231 B163:C165 B172:C172 B173 K2 B65:C161 B7:C64" name="Område3"/>
    <protectedRange sqref="K9:K10" name="Område4"/>
    <protectedRange sqref="J19:J25" name="Område5"/>
    <protectedRange sqref="J29:J34" name="Område6"/>
    <protectedRange sqref="J37:J45" name="Område7"/>
    <protectedRange sqref="J48:J51" name="Område8"/>
    <protectedRange sqref="K65:K70 K53:K64" name="Område9"/>
    <protectedRange sqref="J73:K77" name="Område10"/>
    <protectedRange sqref="J80:K88" name="Område11"/>
    <protectedRange sqref="K90" name="Område12"/>
    <protectedRange sqref="J128" name="Område19_1"/>
    <protectedRange sqref="J28" name="Område6_1"/>
  </protectedRanges>
  <phoneticPr fontId="11" type="noConversion"/>
  <pageMargins left="0.74803149606299213" right="0.74803149606299213" top="0.55118110236220474" bottom="0.43307086614173229" header="0" footer="0"/>
  <pageSetup paperSize="9" scale="72" fitToHeight="0" orientation="landscape" r:id="rId1"/>
  <headerFooter alignWithMargins="0">
    <oddHeader>&amp;LBofællesskabet Bakken&amp;CRegnskab 2012 / Budget 2013</oddHeader>
    <oddFooter>&amp;LMik og Mette&amp;C6. februar 2013&amp;RSide &amp;P</oddFooter>
  </headerFooter>
  <rowBreaks count="5" manualBreakCount="5">
    <brk id="44" max="13" man="1"/>
    <brk id="93" max="16383" man="1"/>
    <brk id="142" max="16383" man="1"/>
    <brk id="158" max="16383" man="1"/>
    <brk id="21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9"/>
  <sheetViews>
    <sheetView workbookViewId="0">
      <pane ySplit="3" topLeftCell="A241" activePane="bottomLeft" state="frozen"/>
      <selection pane="bottomLeft" activeCell="E256" sqref="E256:E257"/>
    </sheetView>
  </sheetViews>
  <sheetFormatPr defaultRowHeight="13.2" x14ac:dyDescent="0.25"/>
  <cols>
    <col min="1" max="1" width="5" bestFit="1" customWidth="1"/>
    <col min="2" max="2" width="35.5546875" bestFit="1" customWidth="1"/>
    <col min="3" max="3" width="11.6640625" bestFit="1" customWidth="1"/>
    <col min="4" max="4" width="12.44140625" bestFit="1" customWidth="1"/>
    <col min="5" max="5" width="10.44140625" bestFit="1" customWidth="1"/>
  </cols>
  <sheetData>
    <row r="1" spans="1:25" ht="15" customHeight="1" x14ac:dyDescent="0.3">
      <c r="A1" s="162" t="s">
        <v>360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</row>
    <row r="2" spans="1:25" ht="15" customHeight="1" x14ac:dyDescent="0.3">
      <c r="A2" s="161" t="s">
        <v>189</v>
      </c>
      <c r="B2" s="161" t="s">
        <v>94</v>
      </c>
      <c r="C2" s="120" t="s">
        <v>190</v>
      </c>
      <c r="D2" s="120" t="s">
        <v>191</v>
      </c>
      <c r="E2" s="120" t="s">
        <v>192</v>
      </c>
    </row>
    <row r="3" spans="1:25" ht="14.4" x14ac:dyDescent="0.3">
      <c r="A3" s="66"/>
      <c r="B3" s="161" t="s">
        <v>104</v>
      </c>
      <c r="C3" s="66"/>
      <c r="D3" s="66"/>
      <c r="E3" s="66"/>
    </row>
    <row r="4" spans="1:25" x14ac:dyDescent="0.25">
      <c r="A4" s="66"/>
      <c r="B4" s="66"/>
      <c r="C4" s="66"/>
      <c r="D4" s="66"/>
      <c r="E4" s="66"/>
    </row>
    <row r="5" spans="1:25" ht="14.4" x14ac:dyDescent="0.3">
      <c r="A5" s="66"/>
      <c r="B5" s="161" t="s">
        <v>183</v>
      </c>
      <c r="C5" s="66"/>
      <c r="D5" s="66"/>
      <c r="E5" s="66"/>
    </row>
    <row r="6" spans="1:25" x14ac:dyDescent="0.25">
      <c r="A6" s="67">
        <v>1010</v>
      </c>
      <c r="B6" s="66" t="s">
        <v>26</v>
      </c>
      <c r="C6" s="68">
        <v>-777600</v>
      </c>
      <c r="D6" s="68">
        <v>-777600</v>
      </c>
      <c r="E6" s="68">
        <f>D6-C6</f>
        <v>0</v>
      </c>
    </row>
    <row r="7" spans="1:25" x14ac:dyDescent="0.25">
      <c r="A7" s="67">
        <v>1020</v>
      </c>
      <c r="B7" s="66" t="s">
        <v>28</v>
      </c>
      <c r="C7" s="68">
        <v>-46656</v>
      </c>
      <c r="D7" s="68">
        <v>-46656</v>
      </c>
      <c r="E7" s="68">
        <f>D7-C7</f>
        <v>0</v>
      </c>
    </row>
    <row r="8" spans="1:25" x14ac:dyDescent="0.25">
      <c r="A8" s="67">
        <v>1030</v>
      </c>
      <c r="B8" s="66" t="s">
        <v>292</v>
      </c>
      <c r="C8" s="68">
        <v>-4000</v>
      </c>
      <c r="D8" s="68">
        <v>-2000</v>
      </c>
      <c r="E8" s="68">
        <f>D8-C8</f>
        <v>2000</v>
      </c>
    </row>
    <row r="9" spans="1:25" x14ac:dyDescent="0.25">
      <c r="A9" s="67">
        <v>1040</v>
      </c>
      <c r="B9" s="66" t="s">
        <v>6</v>
      </c>
      <c r="C9" s="68">
        <v>0</v>
      </c>
      <c r="D9" s="68">
        <v>-16193.24</v>
      </c>
      <c r="E9" s="68">
        <f>D9-C9</f>
        <v>-16193.24</v>
      </c>
    </row>
    <row r="10" spans="1:25" ht="14.4" x14ac:dyDescent="0.3">
      <c r="A10" s="66"/>
      <c r="B10" s="161" t="s">
        <v>105</v>
      </c>
      <c r="C10" s="116">
        <f>+SUM(C6:C9)</f>
        <v>-828256</v>
      </c>
      <c r="D10" s="116">
        <f>+SUM(D6:D9)</f>
        <v>-842449.24</v>
      </c>
      <c r="E10" s="116">
        <f>D10-C10</f>
        <v>-14193.239999999991</v>
      </c>
    </row>
    <row r="11" spans="1:25" x14ac:dyDescent="0.25">
      <c r="A11" s="66"/>
      <c r="B11" s="66"/>
      <c r="C11" s="66"/>
      <c r="D11" s="66"/>
      <c r="E11" s="66"/>
    </row>
    <row r="12" spans="1:25" ht="14.4" x14ac:dyDescent="0.3">
      <c r="A12" s="66"/>
      <c r="B12" s="161" t="s">
        <v>106</v>
      </c>
      <c r="C12" s="66"/>
      <c r="D12" s="66"/>
      <c r="E12" s="66"/>
    </row>
    <row r="13" spans="1:25" x14ac:dyDescent="0.25">
      <c r="A13" s="66"/>
      <c r="B13" s="66"/>
      <c r="C13" s="66"/>
      <c r="D13" s="66"/>
      <c r="E13" s="66"/>
    </row>
    <row r="14" spans="1:25" ht="14.4" x14ac:dyDescent="0.3">
      <c r="A14" s="66"/>
      <c r="B14" s="161" t="s">
        <v>108</v>
      </c>
      <c r="C14" s="66"/>
      <c r="D14" s="66"/>
      <c r="E14" s="66"/>
    </row>
    <row r="15" spans="1:25" x14ac:dyDescent="0.25">
      <c r="A15" s="67">
        <v>1311</v>
      </c>
      <c r="B15" s="66" t="s">
        <v>29</v>
      </c>
      <c r="C15" s="68">
        <v>25000</v>
      </c>
      <c r="D15" s="68">
        <v>29373.1</v>
      </c>
      <c r="E15" s="68">
        <f t="shared" ref="E15:E22" si="0">D15-C15</f>
        <v>4373.0999999999985</v>
      </c>
    </row>
    <row r="16" spans="1:25" x14ac:dyDescent="0.25">
      <c r="A16" s="67">
        <v>1312</v>
      </c>
      <c r="B16" s="66" t="s">
        <v>30</v>
      </c>
      <c r="C16" s="68">
        <v>20000</v>
      </c>
      <c r="D16" s="68">
        <v>37149.230000000003</v>
      </c>
      <c r="E16" s="68">
        <f t="shared" si="0"/>
        <v>17149.230000000003</v>
      </c>
    </row>
    <row r="17" spans="1:5" x14ac:dyDescent="0.25">
      <c r="A17" s="67">
        <v>1313</v>
      </c>
      <c r="B17" s="66" t="s">
        <v>244</v>
      </c>
      <c r="C17" s="68">
        <v>2000</v>
      </c>
      <c r="D17" s="68">
        <v>0</v>
      </c>
      <c r="E17" s="68">
        <f t="shared" si="0"/>
        <v>-2000</v>
      </c>
    </row>
    <row r="18" spans="1:5" x14ac:dyDescent="0.25">
      <c r="A18" s="67">
        <v>1314</v>
      </c>
      <c r="B18" s="66" t="s">
        <v>32</v>
      </c>
      <c r="C18" s="68">
        <v>6000</v>
      </c>
      <c r="D18" s="68">
        <v>3227.5</v>
      </c>
      <c r="E18" s="68">
        <f t="shared" si="0"/>
        <v>-2772.5</v>
      </c>
    </row>
    <row r="19" spans="1:5" x14ac:dyDescent="0.25">
      <c r="A19" s="67">
        <v>1315</v>
      </c>
      <c r="B19" s="66" t="s">
        <v>31</v>
      </c>
      <c r="C19" s="68">
        <v>6000</v>
      </c>
      <c r="D19" s="68">
        <v>967.5</v>
      </c>
      <c r="E19" s="68">
        <f t="shared" si="0"/>
        <v>-5032.5</v>
      </c>
    </row>
    <row r="20" spans="1:5" x14ac:dyDescent="0.25">
      <c r="A20" s="67">
        <v>1316</v>
      </c>
      <c r="B20" s="66" t="s">
        <v>33</v>
      </c>
      <c r="C20" s="68">
        <v>30000</v>
      </c>
      <c r="D20" s="68">
        <v>24169.05</v>
      </c>
      <c r="E20" s="68">
        <f t="shared" si="0"/>
        <v>-5830.9500000000007</v>
      </c>
    </row>
    <row r="21" spans="1:5" x14ac:dyDescent="0.25">
      <c r="A21" s="67">
        <v>1317</v>
      </c>
      <c r="B21" s="66" t="s">
        <v>17</v>
      </c>
      <c r="C21" s="68">
        <v>21000</v>
      </c>
      <c r="D21" s="68">
        <v>0</v>
      </c>
      <c r="E21" s="68">
        <f t="shared" si="0"/>
        <v>-21000</v>
      </c>
    </row>
    <row r="22" spans="1:5" ht="14.4" x14ac:dyDescent="0.3">
      <c r="A22" s="66"/>
      <c r="B22" s="161" t="s">
        <v>109</v>
      </c>
      <c r="C22" s="116">
        <f>+SUM(C15:C21)</f>
        <v>110000</v>
      </c>
      <c r="D22" s="116">
        <f>+SUM(D15:D21)</f>
        <v>94886.38</v>
      </c>
      <c r="E22" s="116">
        <f t="shared" si="0"/>
        <v>-15113.619999999995</v>
      </c>
    </row>
    <row r="23" spans="1:5" x14ac:dyDescent="0.25">
      <c r="A23" s="66"/>
      <c r="B23" s="66"/>
      <c r="C23" s="66"/>
      <c r="D23" s="66"/>
      <c r="E23" s="66"/>
    </row>
    <row r="24" spans="1:5" ht="14.4" x14ac:dyDescent="0.3">
      <c r="A24" s="66"/>
      <c r="B24" s="161" t="s">
        <v>110</v>
      </c>
      <c r="C24" s="66"/>
      <c r="D24" s="66"/>
      <c r="E24" s="66"/>
    </row>
    <row r="25" spans="1:5" x14ac:dyDescent="0.25">
      <c r="A25" s="67">
        <v>1321</v>
      </c>
      <c r="B25" s="66" t="s">
        <v>34</v>
      </c>
      <c r="C25" s="68">
        <v>1500</v>
      </c>
      <c r="D25" s="68">
        <v>974.95</v>
      </c>
      <c r="E25" s="68">
        <f t="shared" ref="E25:E32" si="1">D25-C25</f>
        <v>-525.04999999999995</v>
      </c>
    </row>
    <row r="26" spans="1:5" x14ac:dyDescent="0.25">
      <c r="A26" s="67">
        <v>1322</v>
      </c>
      <c r="B26" s="66" t="s">
        <v>35</v>
      </c>
      <c r="C26" s="68">
        <v>9000</v>
      </c>
      <c r="D26" s="68">
        <v>5281.1</v>
      </c>
      <c r="E26" s="68">
        <f t="shared" si="1"/>
        <v>-3718.8999999999996</v>
      </c>
    </row>
    <row r="27" spans="1:5" x14ac:dyDescent="0.25">
      <c r="A27" s="67">
        <v>1323</v>
      </c>
      <c r="B27" s="66" t="s">
        <v>36</v>
      </c>
      <c r="C27" s="68">
        <v>2000</v>
      </c>
      <c r="D27" s="68">
        <v>2660.45</v>
      </c>
      <c r="E27" s="68">
        <f t="shared" si="1"/>
        <v>660.44999999999982</v>
      </c>
    </row>
    <row r="28" spans="1:5" x14ac:dyDescent="0.25">
      <c r="A28" s="67">
        <v>1324</v>
      </c>
      <c r="B28" s="66" t="s">
        <v>37</v>
      </c>
      <c r="C28" s="68">
        <v>18000</v>
      </c>
      <c r="D28" s="68">
        <v>24747.9</v>
      </c>
      <c r="E28" s="68">
        <f t="shared" si="1"/>
        <v>6747.9000000000015</v>
      </c>
    </row>
    <row r="29" spans="1:5" x14ac:dyDescent="0.25">
      <c r="A29" s="67">
        <v>1325</v>
      </c>
      <c r="B29" s="66" t="s">
        <v>293</v>
      </c>
      <c r="C29" s="68">
        <v>1200</v>
      </c>
      <c r="D29" s="68">
        <v>1188</v>
      </c>
      <c r="E29" s="68">
        <f t="shared" si="1"/>
        <v>-12</v>
      </c>
    </row>
    <row r="30" spans="1:5" x14ac:dyDescent="0.25">
      <c r="A30" s="67">
        <v>1326</v>
      </c>
      <c r="B30" s="66" t="s">
        <v>38</v>
      </c>
      <c r="C30" s="68">
        <v>2000</v>
      </c>
      <c r="D30" s="68">
        <v>2577.08</v>
      </c>
      <c r="E30" s="68">
        <f t="shared" si="1"/>
        <v>577.07999999999993</v>
      </c>
    </row>
    <row r="31" spans="1:5" x14ac:dyDescent="0.25">
      <c r="A31" s="67">
        <v>1327</v>
      </c>
      <c r="B31" s="66" t="s">
        <v>278</v>
      </c>
      <c r="C31" s="68">
        <v>2000</v>
      </c>
      <c r="D31" s="68">
        <v>615</v>
      </c>
      <c r="E31" s="68">
        <f t="shared" si="1"/>
        <v>-1385</v>
      </c>
    </row>
    <row r="32" spans="1:5" ht="14.4" x14ac:dyDescent="0.3">
      <c r="A32" s="66"/>
      <c r="B32" s="161" t="s">
        <v>111</v>
      </c>
      <c r="C32" s="116">
        <f>+SUM(C25:C31)</f>
        <v>35700</v>
      </c>
      <c r="D32" s="116">
        <f>+SUM(D25:D31)</f>
        <v>38044.480000000003</v>
      </c>
      <c r="E32" s="116">
        <f t="shared" si="1"/>
        <v>2344.4800000000032</v>
      </c>
    </row>
    <row r="33" spans="1:5" x14ac:dyDescent="0.25">
      <c r="A33" s="66"/>
      <c r="B33" s="66"/>
      <c r="C33" s="66"/>
      <c r="D33" s="66"/>
      <c r="E33" s="66"/>
    </row>
    <row r="34" spans="1:5" ht="14.4" x14ac:dyDescent="0.3">
      <c r="A34" s="66"/>
      <c r="B34" s="161" t="s">
        <v>112</v>
      </c>
      <c r="C34" s="66"/>
      <c r="D34" s="66"/>
      <c r="E34" s="66"/>
    </row>
    <row r="35" spans="1:5" x14ac:dyDescent="0.25">
      <c r="A35" s="67">
        <v>1331</v>
      </c>
      <c r="B35" s="66" t="s">
        <v>39</v>
      </c>
      <c r="C35" s="68">
        <v>6000</v>
      </c>
      <c r="D35" s="68">
        <v>6365.9</v>
      </c>
      <c r="E35" s="68">
        <f t="shared" ref="E35:E45" si="2">D35-C35</f>
        <v>365.89999999999964</v>
      </c>
    </row>
    <row r="36" spans="1:5" x14ac:dyDescent="0.25">
      <c r="A36" s="67">
        <v>1332</v>
      </c>
      <c r="B36" s="66" t="s">
        <v>255</v>
      </c>
      <c r="C36" s="68">
        <v>4000</v>
      </c>
      <c r="D36" s="68">
        <v>1469.5</v>
      </c>
      <c r="E36" s="68">
        <f t="shared" si="2"/>
        <v>-2530.5</v>
      </c>
    </row>
    <row r="37" spans="1:5" x14ac:dyDescent="0.25">
      <c r="A37" s="67">
        <v>1333</v>
      </c>
      <c r="B37" s="66" t="s">
        <v>40</v>
      </c>
      <c r="C37" s="68">
        <v>8000</v>
      </c>
      <c r="D37" s="68">
        <v>9438.83</v>
      </c>
      <c r="E37" s="68">
        <f t="shared" si="2"/>
        <v>1438.83</v>
      </c>
    </row>
    <row r="38" spans="1:5" x14ac:dyDescent="0.25">
      <c r="A38" s="67">
        <v>1334</v>
      </c>
      <c r="B38" s="66" t="s">
        <v>41</v>
      </c>
      <c r="C38" s="68">
        <v>2000</v>
      </c>
      <c r="D38" s="68">
        <v>2053.42</v>
      </c>
      <c r="E38" s="68">
        <f t="shared" si="2"/>
        <v>53.420000000000073</v>
      </c>
    </row>
    <row r="39" spans="1:5" x14ac:dyDescent="0.25">
      <c r="A39" s="67">
        <v>1335</v>
      </c>
      <c r="B39" s="66" t="s">
        <v>42</v>
      </c>
      <c r="C39" s="68">
        <v>4000</v>
      </c>
      <c r="D39" s="68">
        <v>3373.22</v>
      </c>
      <c r="E39" s="68">
        <f t="shared" si="2"/>
        <v>-626.7800000000002</v>
      </c>
    </row>
    <row r="40" spans="1:5" x14ac:dyDescent="0.25">
      <c r="A40" s="67">
        <v>1336</v>
      </c>
      <c r="B40" s="66" t="s">
        <v>43</v>
      </c>
      <c r="C40" s="68">
        <v>2000</v>
      </c>
      <c r="D40" s="68">
        <v>1701.5</v>
      </c>
      <c r="E40" s="68">
        <f t="shared" si="2"/>
        <v>-298.5</v>
      </c>
    </row>
    <row r="41" spans="1:5" x14ac:dyDescent="0.25">
      <c r="A41" s="67">
        <v>1337</v>
      </c>
      <c r="B41" s="66" t="s">
        <v>44</v>
      </c>
      <c r="C41" s="68">
        <v>1000</v>
      </c>
      <c r="D41" s="68">
        <v>797.9</v>
      </c>
      <c r="E41" s="68">
        <f t="shared" si="2"/>
        <v>-202.10000000000002</v>
      </c>
    </row>
    <row r="42" spans="1:5" x14ac:dyDescent="0.25">
      <c r="A42" s="67">
        <v>1338</v>
      </c>
      <c r="B42" s="66" t="s">
        <v>45</v>
      </c>
      <c r="C42" s="68">
        <v>25000</v>
      </c>
      <c r="D42" s="68">
        <v>19506.5</v>
      </c>
      <c r="E42" s="68">
        <f t="shared" si="2"/>
        <v>-5493.5</v>
      </c>
    </row>
    <row r="43" spans="1:5" x14ac:dyDescent="0.25">
      <c r="A43" s="67">
        <v>1339</v>
      </c>
      <c r="B43" s="66" t="s">
        <v>46</v>
      </c>
      <c r="C43" s="68">
        <v>1000</v>
      </c>
      <c r="D43" s="68">
        <v>630</v>
      </c>
      <c r="E43" s="68">
        <f t="shared" si="2"/>
        <v>-370</v>
      </c>
    </row>
    <row r="44" spans="1:5" x14ac:dyDescent="0.25">
      <c r="A44" s="67">
        <v>1340</v>
      </c>
      <c r="B44" s="66" t="s">
        <v>256</v>
      </c>
      <c r="C44" s="68">
        <v>0</v>
      </c>
      <c r="D44" s="68">
        <v>0</v>
      </c>
      <c r="E44" s="68">
        <f t="shared" si="2"/>
        <v>0</v>
      </c>
    </row>
    <row r="45" spans="1:5" ht="14.4" x14ac:dyDescent="0.3">
      <c r="A45" s="66"/>
      <c r="B45" s="161" t="s">
        <v>193</v>
      </c>
      <c r="C45" s="116">
        <f>+SUM(C35:C44)</f>
        <v>53000</v>
      </c>
      <c r="D45" s="116">
        <f>+SUM(D35:D44)</f>
        <v>45336.770000000004</v>
      </c>
      <c r="E45" s="116">
        <f t="shared" si="2"/>
        <v>-7663.2299999999959</v>
      </c>
    </row>
    <row r="46" spans="1:5" x14ac:dyDescent="0.25">
      <c r="A46" s="66"/>
      <c r="B46" s="66"/>
      <c r="C46" s="66"/>
      <c r="D46" s="66"/>
      <c r="E46" s="66"/>
    </row>
    <row r="47" spans="1:5" ht="14.4" x14ac:dyDescent="0.3">
      <c r="A47" s="66"/>
      <c r="B47" s="161" t="s">
        <v>113</v>
      </c>
      <c r="C47" s="66"/>
      <c r="D47" s="66"/>
      <c r="E47" s="66"/>
    </row>
    <row r="48" spans="1:5" x14ac:dyDescent="0.25">
      <c r="A48" s="67">
        <v>1351</v>
      </c>
      <c r="B48" s="66" t="s">
        <v>47</v>
      </c>
      <c r="C48" s="68">
        <v>4000</v>
      </c>
      <c r="D48" s="68">
        <v>3911.08</v>
      </c>
      <c r="E48" s="68">
        <f>D48-C48</f>
        <v>-88.920000000000073</v>
      </c>
    </row>
    <row r="49" spans="1:5" x14ac:dyDescent="0.25">
      <c r="A49" s="67">
        <v>1352</v>
      </c>
      <c r="B49" s="66" t="s">
        <v>217</v>
      </c>
      <c r="C49" s="68">
        <v>5000</v>
      </c>
      <c r="D49" s="68">
        <v>4907</v>
      </c>
      <c r="E49" s="68">
        <f>D49-C49</f>
        <v>-93</v>
      </c>
    </row>
    <row r="50" spans="1:5" x14ac:dyDescent="0.25">
      <c r="A50" s="67">
        <v>1353</v>
      </c>
      <c r="B50" s="66" t="s">
        <v>48</v>
      </c>
      <c r="C50" s="68">
        <v>1000</v>
      </c>
      <c r="D50" s="68">
        <v>467.5</v>
      </c>
      <c r="E50" s="68">
        <f>D50-C50</f>
        <v>-532.5</v>
      </c>
    </row>
    <row r="51" spans="1:5" x14ac:dyDescent="0.25">
      <c r="A51" s="67">
        <v>1355</v>
      </c>
      <c r="B51" s="66" t="s">
        <v>218</v>
      </c>
      <c r="C51" s="68">
        <v>1000</v>
      </c>
      <c r="D51" s="68">
        <v>619</v>
      </c>
      <c r="E51" s="68">
        <f>D51-C51</f>
        <v>-381</v>
      </c>
    </row>
    <row r="52" spans="1:5" ht="14.4" x14ac:dyDescent="0.3">
      <c r="A52" s="66"/>
      <c r="B52" s="161" t="s">
        <v>114</v>
      </c>
      <c r="C52" s="116">
        <f>+SUM(C48:C51)</f>
        <v>11000</v>
      </c>
      <c r="D52" s="116">
        <f>+SUM(D48:D51)</f>
        <v>9904.58</v>
      </c>
      <c r="E52" s="116">
        <f>D52-C52</f>
        <v>-1095.42</v>
      </c>
    </row>
    <row r="53" spans="1:5" x14ac:dyDescent="0.25">
      <c r="A53" s="66"/>
      <c r="B53" s="66"/>
      <c r="C53" s="66"/>
      <c r="D53" s="66"/>
      <c r="E53" s="66"/>
    </row>
    <row r="54" spans="1:5" ht="14.4" x14ac:dyDescent="0.3">
      <c r="A54" s="66"/>
      <c r="B54" s="161" t="s">
        <v>373</v>
      </c>
      <c r="C54" s="66"/>
      <c r="D54" s="66"/>
      <c r="E54" s="66"/>
    </row>
    <row r="55" spans="1:5" x14ac:dyDescent="0.25">
      <c r="A55" s="67">
        <v>1361</v>
      </c>
      <c r="B55" s="66" t="s">
        <v>378</v>
      </c>
      <c r="C55" s="68">
        <v>0</v>
      </c>
      <c r="D55" s="68">
        <v>0</v>
      </c>
      <c r="E55" s="68">
        <f t="shared" ref="E55:E63" si="3">D55-C55</f>
        <v>0</v>
      </c>
    </row>
    <row r="56" spans="1:5" x14ac:dyDescent="0.25">
      <c r="A56" s="67">
        <v>1362</v>
      </c>
      <c r="B56" s="66" t="s">
        <v>379</v>
      </c>
      <c r="C56" s="68">
        <v>0</v>
      </c>
      <c r="D56" s="68">
        <v>0</v>
      </c>
      <c r="E56" s="68">
        <f t="shared" si="3"/>
        <v>0</v>
      </c>
    </row>
    <row r="57" spans="1:5" x14ac:dyDescent="0.25">
      <c r="A57" s="67">
        <v>1363</v>
      </c>
      <c r="B57" s="66" t="s">
        <v>380</v>
      </c>
      <c r="C57" s="68">
        <v>0</v>
      </c>
      <c r="D57" s="68">
        <v>0</v>
      </c>
      <c r="E57" s="68">
        <f t="shared" si="3"/>
        <v>0</v>
      </c>
    </row>
    <row r="58" spans="1:5" x14ac:dyDescent="0.25">
      <c r="A58" s="67">
        <v>1364</v>
      </c>
      <c r="B58" s="66" t="s">
        <v>381</v>
      </c>
      <c r="C58" s="68">
        <v>0</v>
      </c>
      <c r="D58" s="68">
        <v>0</v>
      </c>
      <c r="E58" s="68">
        <f t="shared" si="3"/>
        <v>0</v>
      </c>
    </row>
    <row r="59" spans="1:5" x14ac:dyDescent="0.25">
      <c r="A59" s="67">
        <v>1365</v>
      </c>
      <c r="B59" s="66" t="s">
        <v>382</v>
      </c>
      <c r="C59" s="68">
        <v>0</v>
      </c>
      <c r="D59" s="68">
        <v>0</v>
      </c>
      <c r="E59" s="68">
        <f t="shared" si="3"/>
        <v>0</v>
      </c>
    </row>
    <row r="60" spans="1:5" x14ac:dyDescent="0.25">
      <c r="A60" s="67">
        <v>1368</v>
      </c>
      <c r="B60" s="66" t="s">
        <v>383</v>
      </c>
      <c r="C60" s="68">
        <v>60000</v>
      </c>
      <c r="D60" s="68">
        <v>87528.9</v>
      </c>
      <c r="E60" s="68">
        <f t="shared" si="3"/>
        <v>27528.899999999994</v>
      </c>
    </row>
    <row r="61" spans="1:5" ht="14.4" x14ac:dyDescent="0.3">
      <c r="A61" s="66"/>
      <c r="B61" s="161" t="s">
        <v>384</v>
      </c>
      <c r="C61" s="116">
        <f>+SUM(C55:C60)</f>
        <v>60000</v>
      </c>
      <c r="D61" s="116">
        <f>+SUM(D55:D60)</f>
        <v>87528.9</v>
      </c>
      <c r="E61" s="116">
        <f t="shared" si="3"/>
        <v>27528.899999999994</v>
      </c>
    </row>
    <row r="62" spans="1:5" x14ac:dyDescent="0.25">
      <c r="A62" s="67">
        <v>1370</v>
      </c>
      <c r="B62" s="66" t="s">
        <v>49</v>
      </c>
      <c r="C62" s="68">
        <v>15000</v>
      </c>
      <c r="D62" s="68">
        <v>13614.4</v>
      </c>
      <c r="E62" s="68">
        <f t="shared" si="3"/>
        <v>-1385.6000000000004</v>
      </c>
    </row>
    <row r="63" spans="1:5" x14ac:dyDescent="0.25">
      <c r="A63" s="67">
        <v>1375</v>
      </c>
      <c r="B63" s="66" t="s">
        <v>250</v>
      </c>
      <c r="C63" s="68">
        <v>15000</v>
      </c>
      <c r="D63" s="68">
        <v>6979</v>
      </c>
      <c r="E63" s="68">
        <f t="shared" si="3"/>
        <v>-8021</v>
      </c>
    </row>
    <row r="64" spans="1:5" x14ac:dyDescent="0.25">
      <c r="A64" s="66"/>
      <c r="B64" s="66"/>
      <c r="C64" s="66"/>
      <c r="D64" s="66"/>
      <c r="E64" s="66"/>
    </row>
    <row r="65" spans="1:5" ht="14.4" x14ac:dyDescent="0.3">
      <c r="A65" s="66"/>
      <c r="B65" s="161" t="s">
        <v>231</v>
      </c>
      <c r="C65" s="66"/>
      <c r="D65" s="66"/>
      <c r="E65" s="66"/>
    </row>
    <row r="66" spans="1:5" x14ac:dyDescent="0.25">
      <c r="A66" s="67">
        <v>1382</v>
      </c>
      <c r="B66" s="66" t="s">
        <v>354</v>
      </c>
      <c r="C66" s="68">
        <v>-27000</v>
      </c>
      <c r="D66" s="68">
        <v>-28909.65</v>
      </c>
      <c r="E66" s="68">
        <f t="shared" ref="E66:E71" si="4">D66-C66</f>
        <v>-1909.6500000000015</v>
      </c>
    </row>
    <row r="67" spans="1:5" x14ac:dyDescent="0.25">
      <c r="A67" s="67">
        <v>1383</v>
      </c>
      <c r="B67" s="66" t="s">
        <v>355</v>
      </c>
      <c r="C67" s="68">
        <v>0</v>
      </c>
      <c r="D67" s="68">
        <v>0</v>
      </c>
      <c r="E67" s="68">
        <f t="shared" si="4"/>
        <v>0</v>
      </c>
    </row>
    <row r="68" spans="1:5" x14ac:dyDescent="0.25">
      <c r="A68" s="67">
        <v>1384</v>
      </c>
      <c r="B68" s="66" t="s">
        <v>232</v>
      </c>
      <c r="C68" s="68">
        <v>26000</v>
      </c>
      <c r="D68" s="68">
        <v>25678.85</v>
      </c>
      <c r="E68" s="68">
        <f t="shared" si="4"/>
        <v>-321.15000000000146</v>
      </c>
    </row>
    <row r="69" spans="1:5" x14ac:dyDescent="0.25">
      <c r="A69" s="67">
        <v>1392</v>
      </c>
      <c r="B69" s="66" t="s">
        <v>233</v>
      </c>
      <c r="C69" s="68">
        <v>4000</v>
      </c>
      <c r="D69" s="68">
        <v>4042.75</v>
      </c>
      <c r="E69" s="68">
        <f t="shared" si="4"/>
        <v>42.75</v>
      </c>
    </row>
    <row r="70" spans="1:5" x14ac:dyDescent="0.25">
      <c r="A70" s="67">
        <v>1397</v>
      </c>
      <c r="B70" s="66" t="s">
        <v>234</v>
      </c>
      <c r="C70" s="68">
        <v>5000</v>
      </c>
      <c r="D70" s="68">
        <v>2690.61</v>
      </c>
      <c r="E70" s="68">
        <f t="shared" si="4"/>
        <v>-2309.39</v>
      </c>
    </row>
    <row r="71" spans="1:5" ht="14.4" x14ac:dyDescent="0.3">
      <c r="A71" s="66"/>
      <c r="B71" s="161" t="s">
        <v>235</v>
      </c>
      <c r="C71" s="116">
        <f>+SUM(C66:C70)</f>
        <v>8000</v>
      </c>
      <c r="D71" s="116">
        <f>+SUM(D66:D70)</f>
        <v>3502.5599999999972</v>
      </c>
      <c r="E71" s="116">
        <f t="shared" si="4"/>
        <v>-4497.4400000000023</v>
      </c>
    </row>
    <row r="72" spans="1:5" x14ac:dyDescent="0.25">
      <c r="A72" s="66"/>
      <c r="B72" s="66"/>
      <c r="C72" s="66"/>
      <c r="D72" s="66"/>
      <c r="E72" s="66"/>
    </row>
    <row r="73" spans="1:5" ht="14.4" x14ac:dyDescent="0.3">
      <c r="A73" s="66"/>
      <c r="B73" s="161" t="s">
        <v>134</v>
      </c>
      <c r="C73" s="66"/>
      <c r="D73" s="66"/>
      <c r="E73" s="66"/>
    </row>
    <row r="74" spans="1:5" x14ac:dyDescent="0.25">
      <c r="A74" s="67">
        <v>1410</v>
      </c>
      <c r="B74" s="66" t="s">
        <v>89</v>
      </c>
      <c r="C74" s="68">
        <v>-135360</v>
      </c>
      <c r="D74" s="68">
        <v>-135360</v>
      </c>
      <c r="E74" s="68">
        <f t="shared" ref="E74:E84" si="5">D74-C74</f>
        <v>0</v>
      </c>
    </row>
    <row r="75" spans="1:5" x14ac:dyDescent="0.25">
      <c r="A75" s="67">
        <v>1420</v>
      </c>
      <c r="B75" s="66" t="s">
        <v>224</v>
      </c>
      <c r="C75" s="68">
        <v>0</v>
      </c>
      <c r="D75" s="68">
        <v>0</v>
      </c>
      <c r="E75" s="68">
        <f t="shared" si="5"/>
        <v>0</v>
      </c>
    </row>
    <row r="76" spans="1:5" x14ac:dyDescent="0.25">
      <c r="A76" s="67">
        <v>1425</v>
      </c>
      <c r="B76" s="66" t="s">
        <v>195</v>
      </c>
      <c r="C76" s="68">
        <v>-10000</v>
      </c>
      <c r="D76" s="68">
        <v>-9996</v>
      </c>
      <c r="E76" s="68">
        <f t="shared" si="5"/>
        <v>4</v>
      </c>
    </row>
    <row r="77" spans="1:5" x14ac:dyDescent="0.25">
      <c r="A77" s="67">
        <v>1427</v>
      </c>
      <c r="B77" s="66" t="s">
        <v>91</v>
      </c>
      <c r="C77" s="68">
        <v>10000</v>
      </c>
      <c r="D77" s="68">
        <v>9800.68</v>
      </c>
      <c r="E77" s="68">
        <f t="shared" si="5"/>
        <v>-199.31999999999971</v>
      </c>
    </row>
    <row r="78" spans="1:5" x14ac:dyDescent="0.25">
      <c r="A78" s="67">
        <v>1430</v>
      </c>
      <c r="B78" s="66" t="s">
        <v>92</v>
      </c>
      <c r="C78" s="68">
        <v>46656</v>
      </c>
      <c r="D78" s="68">
        <v>46656</v>
      </c>
      <c r="E78" s="68">
        <f t="shared" si="5"/>
        <v>0</v>
      </c>
    </row>
    <row r="79" spans="1:5" x14ac:dyDescent="0.25">
      <c r="A79" s="67">
        <v>1440</v>
      </c>
      <c r="B79" s="66" t="s">
        <v>15</v>
      </c>
      <c r="C79" s="68">
        <v>4107</v>
      </c>
      <c r="D79" s="68">
        <v>4105</v>
      </c>
      <c r="E79" s="68">
        <f t="shared" si="5"/>
        <v>-2</v>
      </c>
    </row>
    <row r="80" spans="1:5" x14ac:dyDescent="0.25">
      <c r="A80" s="67">
        <v>1450</v>
      </c>
      <c r="B80" s="66" t="s">
        <v>51</v>
      </c>
      <c r="C80" s="68">
        <v>35891.339999999997</v>
      </c>
      <c r="D80" s="68">
        <v>35891.339999999997</v>
      </c>
      <c r="E80" s="68">
        <f t="shared" si="5"/>
        <v>0</v>
      </c>
    </row>
    <row r="81" spans="1:5" x14ac:dyDescent="0.25">
      <c r="A81" s="67">
        <v>1460</v>
      </c>
      <c r="B81" s="66" t="s">
        <v>225</v>
      </c>
      <c r="C81" s="68">
        <v>9000</v>
      </c>
      <c r="D81" s="68">
        <v>8966.75</v>
      </c>
      <c r="E81" s="68">
        <f t="shared" si="5"/>
        <v>-33.25</v>
      </c>
    </row>
    <row r="82" spans="1:5" x14ac:dyDescent="0.25">
      <c r="A82" s="67">
        <v>1470</v>
      </c>
      <c r="B82" s="66" t="s">
        <v>93</v>
      </c>
      <c r="C82" s="68">
        <v>12000</v>
      </c>
      <c r="D82" s="68">
        <v>8946.08</v>
      </c>
      <c r="E82" s="68">
        <f t="shared" si="5"/>
        <v>-3053.92</v>
      </c>
    </row>
    <row r="83" spans="1:5" x14ac:dyDescent="0.25">
      <c r="A83" s="67">
        <v>1480</v>
      </c>
      <c r="B83" s="66" t="s">
        <v>226</v>
      </c>
      <c r="C83" s="68">
        <v>15000</v>
      </c>
      <c r="D83" s="68">
        <v>0</v>
      </c>
      <c r="E83" s="68">
        <f t="shared" si="5"/>
        <v>-15000</v>
      </c>
    </row>
    <row r="84" spans="1:5" ht="14.4" x14ac:dyDescent="0.3">
      <c r="A84" s="66"/>
      <c r="B84" s="161" t="s">
        <v>135</v>
      </c>
      <c r="C84" s="116">
        <f>+SUM(C74:C83)</f>
        <v>-12705.660000000003</v>
      </c>
      <c r="D84" s="116">
        <f>+SUM(D74:D83)</f>
        <v>-30990.150000000009</v>
      </c>
      <c r="E84" s="116">
        <f t="shared" si="5"/>
        <v>-18284.490000000005</v>
      </c>
    </row>
    <row r="85" spans="1:5" x14ac:dyDescent="0.25">
      <c r="A85" s="66"/>
      <c r="B85" s="66"/>
      <c r="C85" s="66"/>
      <c r="D85" s="66"/>
      <c r="E85" s="66"/>
    </row>
    <row r="86" spans="1:5" ht="14.4" x14ac:dyDescent="0.3">
      <c r="A86" s="66"/>
      <c r="B86" s="161"/>
      <c r="C86" s="66"/>
      <c r="D86" s="66"/>
      <c r="E86" s="66"/>
    </row>
    <row r="87" spans="1:5" x14ac:dyDescent="0.25">
      <c r="A87" s="67">
        <v>1997</v>
      </c>
      <c r="B87" s="66" t="s">
        <v>50</v>
      </c>
      <c r="C87" s="68">
        <v>0</v>
      </c>
      <c r="D87" s="68">
        <v>0</v>
      </c>
      <c r="E87" s="68">
        <f>D87-C87</f>
        <v>0</v>
      </c>
    </row>
    <row r="88" spans="1:5" ht="14.4" x14ac:dyDescent="0.3">
      <c r="A88" s="66"/>
      <c r="B88" s="161" t="s">
        <v>115</v>
      </c>
      <c r="C88" s="116">
        <f>+SUM(C15:C21)+SUM(C25:C31)+SUM(C35:C44)+SUM(C48:C51)+SUM(C55:C60)+SUM(C62:C63)+SUM(C66:C70)+SUM(C74:C83)+SUM(C87:C87)</f>
        <v>294994.33999999997</v>
      </c>
      <c r="D88" s="116">
        <f>+SUM(D15:D21)+SUM(D25:D31)+SUM(D35:D44)+SUM(D48:D51)+SUM(D55:D60)+SUM(D62:D63)+SUM(D66:D70)+SUM(D74:D83)+SUM(D87:D87)</f>
        <v>268806.92</v>
      </c>
      <c r="E88" s="116">
        <f>D88-C88</f>
        <v>-26187.419999999984</v>
      </c>
    </row>
    <row r="89" spans="1:5" ht="14.4" x14ac:dyDescent="0.3">
      <c r="A89" s="66"/>
      <c r="B89" s="161" t="s">
        <v>116</v>
      </c>
      <c r="C89" s="116">
        <f>+SUM(C6:C9)+SUM(C15:C21)+SUM(C25:C31)+SUM(C35:C44)+SUM(C48:C51)+SUM(C55:C60)+SUM(C62:C63)+SUM(C66:C70)+SUM(C74:C83)+SUM(C87:C87)</f>
        <v>-533261.66</v>
      </c>
      <c r="D89" s="116">
        <f>+SUM(D6:D9)+SUM(D15:D21)+SUM(D25:D31)+SUM(D35:D44)+SUM(D48:D51)+SUM(D55:D60)+SUM(D62:D63)+SUM(D66:D70)+SUM(D74:D83)+SUM(D87:D87)</f>
        <v>-573642.32000000007</v>
      </c>
      <c r="E89" s="116">
        <f>D89-C89</f>
        <v>-40380.660000000033</v>
      </c>
    </row>
    <row r="90" spans="1:5" x14ac:dyDescent="0.25">
      <c r="A90" s="66"/>
      <c r="B90" s="66"/>
      <c r="C90" s="66"/>
      <c r="D90" s="66"/>
      <c r="E90" s="66"/>
    </row>
    <row r="91" spans="1:5" ht="14.4" x14ac:dyDescent="0.3">
      <c r="A91" s="66"/>
      <c r="B91" s="161" t="s">
        <v>117</v>
      </c>
      <c r="C91" s="66"/>
      <c r="D91" s="66"/>
      <c r="E91" s="66"/>
    </row>
    <row r="92" spans="1:5" x14ac:dyDescent="0.25">
      <c r="A92" s="67">
        <v>2210</v>
      </c>
      <c r="B92" s="66" t="s">
        <v>51</v>
      </c>
      <c r="C92" s="68">
        <v>40435.29</v>
      </c>
      <c r="D92" s="68">
        <v>40435.29</v>
      </c>
      <c r="E92" s="68">
        <f>D92-C92</f>
        <v>0</v>
      </c>
    </row>
    <row r="93" spans="1:5" x14ac:dyDescent="0.25">
      <c r="A93" s="67">
        <v>2220</v>
      </c>
      <c r="B93" s="66" t="s">
        <v>7</v>
      </c>
      <c r="C93" s="68">
        <v>37000</v>
      </c>
      <c r="D93" s="68">
        <v>36951.919999999998</v>
      </c>
      <c r="E93" s="68">
        <f>D93-C93</f>
        <v>-48.080000000001746</v>
      </c>
    </row>
    <row r="94" spans="1:5" x14ac:dyDescent="0.25">
      <c r="A94" s="66"/>
      <c r="B94" s="66"/>
      <c r="C94" s="66"/>
      <c r="D94" s="66"/>
      <c r="E94" s="66"/>
    </row>
    <row r="95" spans="1:5" ht="14.4" x14ac:dyDescent="0.3">
      <c r="A95" s="66"/>
      <c r="B95" s="161" t="s">
        <v>257</v>
      </c>
      <c r="C95" s="66"/>
      <c r="D95" s="66"/>
      <c r="E95" s="66"/>
    </row>
    <row r="96" spans="1:5" x14ac:dyDescent="0.25">
      <c r="A96" s="67">
        <v>2231</v>
      </c>
      <c r="B96" s="66" t="s">
        <v>294</v>
      </c>
      <c r="C96" s="68">
        <v>33253</v>
      </c>
      <c r="D96" s="68">
        <v>33801</v>
      </c>
      <c r="E96" s="68">
        <f t="shared" ref="E96:E101" si="6">D96-C96</f>
        <v>548</v>
      </c>
    </row>
    <row r="97" spans="1:5" x14ac:dyDescent="0.25">
      <c r="A97" s="67">
        <v>2232</v>
      </c>
      <c r="B97" s="66" t="s">
        <v>271</v>
      </c>
      <c r="C97" s="68">
        <v>19050.939999999999</v>
      </c>
      <c r="D97" s="68">
        <v>17692.96</v>
      </c>
      <c r="E97" s="68">
        <f t="shared" si="6"/>
        <v>-1357.9799999999996</v>
      </c>
    </row>
    <row r="98" spans="1:5" x14ac:dyDescent="0.25">
      <c r="A98" s="67">
        <v>2233</v>
      </c>
      <c r="B98" s="66" t="s">
        <v>272</v>
      </c>
      <c r="C98" s="68">
        <v>166357.35999999999</v>
      </c>
      <c r="D98" s="68">
        <v>160417.53</v>
      </c>
      <c r="E98" s="68">
        <f t="shared" si="6"/>
        <v>-5939.8299999999872</v>
      </c>
    </row>
    <row r="99" spans="1:5" x14ac:dyDescent="0.25">
      <c r="A99" s="67">
        <v>2234</v>
      </c>
      <c r="B99" s="66" t="s">
        <v>206</v>
      </c>
      <c r="C99" s="68">
        <v>13975.71</v>
      </c>
      <c r="D99" s="68">
        <v>11245.16</v>
      </c>
      <c r="E99" s="68">
        <f t="shared" si="6"/>
        <v>-2730.5499999999993</v>
      </c>
    </row>
    <row r="100" spans="1:5" x14ac:dyDescent="0.25">
      <c r="A100" s="67">
        <v>2235</v>
      </c>
      <c r="B100" s="66" t="s">
        <v>52</v>
      </c>
      <c r="C100" s="68">
        <v>7000</v>
      </c>
      <c r="D100" s="68">
        <v>7002</v>
      </c>
      <c r="E100" s="68">
        <f t="shared" si="6"/>
        <v>2</v>
      </c>
    </row>
    <row r="101" spans="1:5" ht="14.4" x14ac:dyDescent="0.3">
      <c r="A101" s="66"/>
      <c r="B101" s="161" t="s">
        <v>118</v>
      </c>
      <c r="C101" s="116">
        <f>+SUM(C96:C100)</f>
        <v>239637.00999999998</v>
      </c>
      <c r="D101" s="116">
        <f>+SUM(D96:D100)</f>
        <v>230158.65</v>
      </c>
      <c r="E101" s="116">
        <f t="shared" si="6"/>
        <v>-9478.359999999986</v>
      </c>
    </row>
    <row r="102" spans="1:5" x14ac:dyDescent="0.25">
      <c r="A102" s="66"/>
      <c r="B102" s="66"/>
      <c r="C102" s="66"/>
      <c r="D102" s="66"/>
      <c r="E102" s="66"/>
    </row>
    <row r="103" spans="1:5" ht="14.4" x14ac:dyDescent="0.3">
      <c r="A103" s="66"/>
      <c r="B103" s="161" t="s">
        <v>8</v>
      </c>
      <c r="C103" s="66"/>
      <c r="D103" s="66"/>
      <c r="E103" s="66"/>
    </row>
    <row r="104" spans="1:5" x14ac:dyDescent="0.25">
      <c r="A104" s="67">
        <v>2251</v>
      </c>
      <c r="B104" s="66" t="s">
        <v>296</v>
      </c>
      <c r="C104" s="68">
        <v>5000</v>
      </c>
      <c r="D104" s="68">
        <v>2048.84</v>
      </c>
      <c r="E104" s="68">
        <f>D104-C104</f>
        <v>-2951.16</v>
      </c>
    </row>
    <row r="105" spans="1:5" x14ac:dyDescent="0.25">
      <c r="A105" s="67">
        <v>2255</v>
      </c>
      <c r="B105" s="66" t="s">
        <v>199</v>
      </c>
      <c r="C105" s="68">
        <v>0</v>
      </c>
      <c r="D105" s="68">
        <v>0</v>
      </c>
      <c r="E105" s="68">
        <f>D105-C105</f>
        <v>0</v>
      </c>
    </row>
    <row r="106" spans="1:5" x14ac:dyDescent="0.25">
      <c r="A106" s="67">
        <v>2256</v>
      </c>
      <c r="B106" s="66" t="s">
        <v>200</v>
      </c>
      <c r="C106" s="68">
        <v>0</v>
      </c>
      <c r="D106" s="68">
        <v>0</v>
      </c>
      <c r="E106" s="68">
        <f>D106-C106</f>
        <v>0</v>
      </c>
    </row>
    <row r="107" spans="1:5" x14ac:dyDescent="0.25">
      <c r="A107" s="67">
        <v>2258</v>
      </c>
      <c r="B107" s="66" t="s">
        <v>53</v>
      </c>
      <c r="C107" s="68">
        <v>0</v>
      </c>
      <c r="D107" s="68">
        <v>0</v>
      </c>
      <c r="E107" s="68">
        <f>D107-C107</f>
        <v>0</v>
      </c>
    </row>
    <row r="108" spans="1:5" ht="14.4" x14ac:dyDescent="0.3">
      <c r="A108" s="66"/>
      <c r="B108" s="161" t="s">
        <v>119</v>
      </c>
      <c r="C108" s="116">
        <f>+SUM(C104:C107)</f>
        <v>5000</v>
      </c>
      <c r="D108" s="116">
        <f>+SUM(D104:D107)</f>
        <v>2048.84</v>
      </c>
      <c r="E108" s="116">
        <f>D108-C108</f>
        <v>-2951.16</v>
      </c>
    </row>
    <row r="109" spans="1:5" x14ac:dyDescent="0.25">
      <c r="A109" s="66"/>
      <c r="B109" s="66"/>
      <c r="C109" s="66"/>
      <c r="D109" s="66"/>
      <c r="E109" s="66"/>
    </row>
    <row r="110" spans="1:5" ht="14.4" x14ac:dyDescent="0.3">
      <c r="A110" s="66"/>
      <c r="B110" s="161" t="s">
        <v>219</v>
      </c>
      <c r="C110" s="66"/>
      <c r="D110" s="66"/>
      <c r="E110" s="66"/>
    </row>
    <row r="111" spans="1:5" x14ac:dyDescent="0.25">
      <c r="A111" s="67">
        <v>2261</v>
      </c>
      <c r="B111" s="66" t="s">
        <v>15</v>
      </c>
      <c r="C111" s="68">
        <v>12900</v>
      </c>
      <c r="D111" s="68">
        <v>12595.98</v>
      </c>
      <c r="E111" s="68">
        <f t="shared" ref="E111:E116" si="7">D111-C111</f>
        <v>-304.02000000000044</v>
      </c>
    </row>
    <row r="112" spans="1:5" x14ac:dyDescent="0.25">
      <c r="A112" s="67">
        <v>2262</v>
      </c>
      <c r="B112" s="66" t="s">
        <v>54</v>
      </c>
      <c r="C112" s="68">
        <v>63200</v>
      </c>
      <c r="D112" s="68">
        <v>60599.6</v>
      </c>
      <c r="E112" s="68">
        <f t="shared" si="7"/>
        <v>-2600.4000000000015</v>
      </c>
    </row>
    <row r="113" spans="1:5" x14ac:dyDescent="0.25">
      <c r="A113" s="67">
        <v>2263</v>
      </c>
      <c r="B113" s="66" t="s">
        <v>55</v>
      </c>
      <c r="C113" s="68">
        <v>48000</v>
      </c>
      <c r="D113" s="68">
        <v>54796</v>
      </c>
      <c r="E113" s="68">
        <f t="shared" si="7"/>
        <v>6796</v>
      </c>
    </row>
    <row r="114" spans="1:5" x14ac:dyDescent="0.25">
      <c r="A114" s="67">
        <v>2264</v>
      </c>
      <c r="B114" s="66" t="s">
        <v>56</v>
      </c>
      <c r="C114" s="68">
        <v>33000</v>
      </c>
      <c r="D114" s="68">
        <v>32306</v>
      </c>
      <c r="E114" s="68">
        <f t="shared" si="7"/>
        <v>-694</v>
      </c>
    </row>
    <row r="115" spans="1:5" x14ac:dyDescent="0.25">
      <c r="A115" s="67">
        <v>2265</v>
      </c>
      <c r="B115" s="66" t="s">
        <v>194</v>
      </c>
      <c r="C115" s="68">
        <v>3000</v>
      </c>
      <c r="D115" s="68">
        <v>2482.79</v>
      </c>
      <c r="E115" s="68">
        <f t="shared" si="7"/>
        <v>-517.21</v>
      </c>
    </row>
    <row r="116" spans="1:5" ht="14.4" x14ac:dyDescent="0.3">
      <c r="A116" s="66"/>
      <c r="B116" s="161" t="s">
        <v>220</v>
      </c>
      <c r="C116" s="116">
        <f>+SUM(C111:C115)</f>
        <v>160100</v>
      </c>
      <c r="D116" s="116">
        <f>+SUM(D111:D115)</f>
        <v>162780.37000000002</v>
      </c>
      <c r="E116" s="116">
        <f t="shared" si="7"/>
        <v>2680.3700000000244</v>
      </c>
    </row>
    <row r="117" spans="1:5" x14ac:dyDescent="0.25">
      <c r="A117" s="66"/>
      <c r="B117" s="66"/>
      <c r="C117" s="66"/>
      <c r="D117" s="66"/>
      <c r="E117" s="66"/>
    </row>
    <row r="118" spans="1:5" ht="14.4" x14ac:dyDescent="0.3">
      <c r="A118" s="66"/>
      <c r="B118" s="161" t="s">
        <v>10</v>
      </c>
      <c r="C118" s="66"/>
      <c r="D118" s="66"/>
      <c r="E118" s="66"/>
    </row>
    <row r="119" spans="1:5" x14ac:dyDescent="0.25">
      <c r="A119" s="67">
        <v>2271</v>
      </c>
      <c r="B119" s="66" t="s">
        <v>57</v>
      </c>
      <c r="C119" s="68">
        <v>3500</v>
      </c>
      <c r="D119" s="68">
        <v>2453.5</v>
      </c>
      <c r="E119" s="68">
        <f>D119-C119</f>
        <v>-1046.5</v>
      </c>
    </row>
    <row r="120" spans="1:5" x14ac:dyDescent="0.25">
      <c r="A120" s="67">
        <v>2272</v>
      </c>
      <c r="B120" s="66" t="s">
        <v>58</v>
      </c>
      <c r="C120" s="68">
        <v>1000</v>
      </c>
      <c r="D120" s="68">
        <v>271</v>
      </c>
      <c r="E120" s="68">
        <f>D120-C120</f>
        <v>-729</v>
      </c>
    </row>
    <row r="121" spans="1:5" x14ac:dyDescent="0.25">
      <c r="A121" s="67">
        <v>2273</v>
      </c>
      <c r="B121" s="66" t="s">
        <v>59</v>
      </c>
      <c r="C121" s="68">
        <v>4500</v>
      </c>
      <c r="D121" s="68">
        <v>5974</v>
      </c>
      <c r="E121" s="68">
        <f>D121-C121</f>
        <v>1474</v>
      </c>
    </row>
    <row r="122" spans="1:5" ht="14.4" x14ac:dyDescent="0.3">
      <c r="A122" s="66"/>
      <c r="B122" s="161" t="s">
        <v>120</v>
      </c>
      <c r="C122" s="116">
        <f>+SUM(C119:C121)</f>
        <v>9000</v>
      </c>
      <c r="D122" s="116">
        <f>+SUM(D119:D121)</f>
        <v>8698.5</v>
      </c>
      <c r="E122" s="116">
        <f>D122-C122</f>
        <v>-301.5</v>
      </c>
    </row>
    <row r="123" spans="1:5" x14ac:dyDescent="0.25">
      <c r="A123" s="66"/>
      <c r="B123" s="66"/>
      <c r="C123" s="66"/>
      <c r="D123" s="66"/>
      <c r="E123" s="66"/>
    </row>
    <row r="124" spans="1:5" ht="14.4" x14ac:dyDescent="0.3">
      <c r="A124" s="66"/>
      <c r="B124" s="161" t="s">
        <v>9</v>
      </c>
      <c r="C124" s="66"/>
      <c r="D124" s="66"/>
      <c r="E124" s="66"/>
    </row>
    <row r="125" spans="1:5" x14ac:dyDescent="0.25">
      <c r="A125" s="67">
        <v>2282</v>
      </c>
      <c r="B125" s="66" t="s">
        <v>60</v>
      </c>
      <c r="C125" s="68">
        <v>30000</v>
      </c>
      <c r="D125" s="68">
        <v>23875</v>
      </c>
      <c r="E125" s="68">
        <f>D125-C125</f>
        <v>-6125</v>
      </c>
    </row>
    <row r="126" spans="1:5" x14ac:dyDescent="0.25">
      <c r="A126" s="67">
        <v>2284</v>
      </c>
      <c r="B126" s="66" t="s">
        <v>61</v>
      </c>
      <c r="C126" s="68">
        <v>8000</v>
      </c>
      <c r="D126" s="68">
        <v>8125</v>
      </c>
      <c r="E126" s="68">
        <f>D126-C126</f>
        <v>125</v>
      </c>
    </row>
    <row r="127" spans="1:5" ht="14.4" x14ac:dyDescent="0.3">
      <c r="A127" s="66"/>
      <c r="B127" s="161" t="s">
        <v>121</v>
      </c>
      <c r="C127" s="116">
        <f>+SUM(C125:C126)</f>
        <v>38000</v>
      </c>
      <c r="D127" s="116">
        <f>+SUM(D125:D126)</f>
        <v>32000</v>
      </c>
      <c r="E127" s="116">
        <f>D127-C127</f>
        <v>-6000</v>
      </c>
    </row>
    <row r="128" spans="1:5" x14ac:dyDescent="0.25">
      <c r="A128" s="66"/>
      <c r="B128" s="66"/>
      <c r="C128" s="66"/>
      <c r="D128" s="66"/>
      <c r="E128" s="66"/>
    </row>
    <row r="129" spans="1:5" ht="14.4" x14ac:dyDescent="0.3">
      <c r="A129" s="66"/>
      <c r="B129" s="161" t="s">
        <v>11</v>
      </c>
      <c r="C129" s="66"/>
      <c r="D129" s="66"/>
      <c r="E129" s="66"/>
    </row>
    <row r="130" spans="1:5" x14ac:dyDescent="0.25">
      <c r="A130" s="67">
        <v>2292</v>
      </c>
      <c r="B130" s="66" t="s">
        <v>62</v>
      </c>
      <c r="C130" s="68">
        <v>0</v>
      </c>
      <c r="D130" s="68">
        <v>0</v>
      </c>
      <c r="E130" s="68">
        <f t="shared" ref="E130:E137" si="8">D130-C130</f>
        <v>0</v>
      </c>
    </row>
    <row r="131" spans="1:5" x14ac:dyDescent="0.25">
      <c r="A131" s="67">
        <v>2293</v>
      </c>
      <c r="B131" s="66" t="s">
        <v>221</v>
      </c>
      <c r="C131" s="68">
        <v>0</v>
      </c>
      <c r="D131" s="68">
        <v>0</v>
      </c>
      <c r="E131" s="68">
        <f t="shared" si="8"/>
        <v>0</v>
      </c>
    </row>
    <row r="132" spans="1:5" x14ac:dyDescent="0.25">
      <c r="A132" s="67">
        <v>2294</v>
      </c>
      <c r="B132" s="66" t="s">
        <v>63</v>
      </c>
      <c r="C132" s="68">
        <v>122</v>
      </c>
      <c r="D132" s="68">
        <v>84</v>
      </c>
      <c r="E132" s="68">
        <f t="shared" si="8"/>
        <v>-38</v>
      </c>
    </row>
    <row r="133" spans="1:5" x14ac:dyDescent="0.25">
      <c r="A133" s="67">
        <v>2295</v>
      </c>
      <c r="B133" s="66" t="s">
        <v>64</v>
      </c>
      <c r="C133" s="68">
        <v>4000</v>
      </c>
      <c r="D133" s="68">
        <v>0</v>
      </c>
      <c r="E133" s="68">
        <f t="shared" si="8"/>
        <v>-4000</v>
      </c>
    </row>
    <row r="134" spans="1:5" ht="14.4" x14ac:dyDescent="0.3">
      <c r="A134" s="66"/>
      <c r="B134" s="161" t="s">
        <v>122</v>
      </c>
      <c r="C134" s="116">
        <f>+SUM(C130:C133)</f>
        <v>4122</v>
      </c>
      <c r="D134" s="116">
        <f>+SUM(D130:D133)</f>
        <v>84</v>
      </c>
      <c r="E134" s="116">
        <f t="shared" si="8"/>
        <v>-4038</v>
      </c>
    </row>
    <row r="135" spans="1:5" ht="14.4" x14ac:dyDescent="0.3">
      <c r="A135" s="66"/>
      <c r="B135" s="161" t="s">
        <v>123</v>
      </c>
      <c r="C135" s="116">
        <f>+SUM(C92:C93)+SUM(C96:C100)+SUM(C104:C107)+SUM(C111:C115)+SUM(C119:C121)+SUM(C125:C126)+SUM(C130:C133)</f>
        <v>533294.30000000005</v>
      </c>
      <c r="D135" s="116">
        <f>+SUM(D92:D93)+SUM(D96:D100)+SUM(D104:D107)+SUM(D111:D115)+SUM(D119:D121)+SUM(D125:D126)+SUM(D130:D133)</f>
        <v>513157.57000000007</v>
      </c>
      <c r="E135" s="116">
        <f t="shared" si="8"/>
        <v>-20136.729999999981</v>
      </c>
    </row>
    <row r="136" spans="1:5" ht="14.4" x14ac:dyDescent="0.3">
      <c r="A136" s="66"/>
      <c r="B136" s="161" t="s">
        <v>124</v>
      </c>
      <c r="C136" s="116">
        <f>+SUM(C15:C21)+SUM(C25:C31)+SUM(C35:C44)+SUM(C48:C51)+SUM(C55:C60)+SUM(C62:C63)+SUM(C66:C70)+SUM(C74:C83)+SUM(C87:C87)+SUM(C92:C93)+SUM(C96:C100)+SUM(C104:C107)+SUM(C111:C115)+SUM(C119:C121)+SUM(C125:C126)+SUM(C130:C133)</f>
        <v>828288.64</v>
      </c>
      <c r="D136" s="116">
        <f>+SUM(D15:D21)+SUM(D25:D31)+SUM(D35:D44)+SUM(D48:D51)+SUM(D55:D60)+SUM(D62:D63)+SUM(D66:D70)+SUM(D74:D83)+SUM(D87:D87)+SUM(D92:D93)+SUM(D96:D100)+SUM(D104:D107)+SUM(D111:D115)+SUM(D119:D121)+SUM(D125:D126)+SUM(D130:D133)</f>
        <v>781964.49</v>
      </c>
      <c r="E136" s="116">
        <f t="shared" si="8"/>
        <v>-46324.150000000023</v>
      </c>
    </row>
    <row r="137" spans="1:5" ht="14.4" x14ac:dyDescent="0.3">
      <c r="A137" s="66"/>
      <c r="B137" s="161" t="s">
        <v>222</v>
      </c>
      <c r="C137" s="116">
        <f>+SUM(C6:C9)+SUM(C15:C21)+SUM(C25:C31)+SUM(C35:C44)+SUM(C48:C51)+SUM(C55:C60)+SUM(C62:C63)+SUM(C66:C70)+SUM(C74:C83)+SUM(C87:C87)+SUM(C92:C93)+SUM(C96:C100)+SUM(C104:C107)+SUM(C111:C115)+SUM(C119:C121)+SUM(C125:C126)+SUM(C130:C133)</f>
        <v>32.639999999984866</v>
      </c>
      <c r="D137" s="116">
        <f>+SUM(D6:D9)+SUM(D15:D21)+SUM(D25:D31)+SUM(D35:D44)+SUM(D48:D51)+SUM(D55:D60)+SUM(D62:D63)+SUM(D66:D70)+SUM(D74:D83)+SUM(D87:D87)+SUM(D92:D93)+SUM(D96:D100)+SUM(D104:D107)+SUM(D111:D115)+SUM(D119:D121)+SUM(D125:D126)+SUM(D130:D133)</f>
        <v>-60484.750000000029</v>
      </c>
      <c r="E137" s="116">
        <f t="shared" si="8"/>
        <v>-60517.390000000014</v>
      </c>
    </row>
    <row r="138" spans="1:5" x14ac:dyDescent="0.25">
      <c r="A138" s="66"/>
      <c r="B138" s="66"/>
      <c r="C138" s="66"/>
      <c r="D138" s="66"/>
      <c r="E138" s="66"/>
    </row>
    <row r="139" spans="1:5" ht="14.4" x14ac:dyDescent="0.3">
      <c r="A139" s="66"/>
      <c r="B139" s="161" t="s">
        <v>125</v>
      </c>
      <c r="C139" s="66"/>
      <c r="D139" s="66"/>
      <c r="E139" s="66"/>
    </row>
    <row r="140" spans="1:5" x14ac:dyDescent="0.25">
      <c r="A140" s="66"/>
      <c r="B140" s="66"/>
      <c r="C140" s="66"/>
      <c r="D140" s="66"/>
      <c r="E140" s="66"/>
    </row>
    <row r="141" spans="1:5" ht="14.4" x14ac:dyDescent="0.3">
      <c r="A141" s="66"/>
      <c r="B141" s="161" t="s">
        <v>72</v>
      </c>
      <c r="C141" s="66"/>
      <c r="D141" s="66"/>
      <c r="E141" s="66"/>
    </row>
    <row r="142" spans="1:5" x14ac:dyDescent="0.25">
      <c r="A142" s="67">
        <v>3110</v>
      </c>
      <c r="B142" s="66" t="s">
        <v>65</v>
      </c>
      <c r="C142" s="68">
        <v>0</v>
      </c>
      <c r="D142" s="68">
        <v>-37784.839999999997</v>
      </c>
      <c r="E142" s="68">
        <f t="shared" ref="E142:E149" si="9">D142-C142</f>
        <v>-37784.839999999997</v>
      </c>
    </row>
    <row r="143" spans="1:5" x14ac:dyDescent="0.25">
      <c r="A143" s="67">
        <v>3120</v>
      </c>
      <c r="B143" s="66" t="s">
        <v>66</v>
      </c>
      <c r="C143" s="68">
        <v>0</v>
      </c>
      <c r="D143" s="68">
        <v>-2482.79</v>
      </c>
      <c r="E143" s="68">
        <f t="shared" si="9"/>
        <v>-2482.79</v>
      </c>
    </row>
    <row r="144" spans="1:5" x14ac:dyDescent="0.25">
      <c r="A144" s="67">
        <v>3140</v>
      </c>
      <c r="B144" s="66" t="s">
        <v>67</v>
      </c>
      <c r="C144" s="68">
        <v>0</v>
      </c>
      <c r="D144" s="68">
        <v>21354.080000000002</v>
      </c>
      <c r="E144" s="68">
        <f t="shared" si="9"/>
        <v>21354.080000000002</v>
      </c>
    </row>
    <row r="145" spans="1:5" x14ac:dyDescent="0.25">
      <c r="A145" s="67">
        <v>3150</v>
      </c>
      <c r="B145" s="66" t="s">
        <v>54</v>
      </c>
      <c r="C145" s="68">
        <v>0</v>
      </c>
      <c r="D145" s="68">
        <v>1981</v>
      </c>
      <c r="E145" s="68">
        <f t="shared" si="9"/>
        <v>1981</v>
      </c>
    </row>
    <row r="146" spans="1:5" x14ac:dyDescent="0.25">
      <c r="A146" s="67">
        <v>3160</v>
      </c>
      <c r="B146" s="66" t="s">
        <v>68</v>
      </c>
      <c r="C146" s="68">
        <v>0</v>
      </c>
      <c r="D146" s="68">
        <v>6718</v>
      </c>
      <c r="E146" s="68">
        <f t="shared" si="9"/>
        <v>6718</v>
      </c>
    </row>
    <row r="147" spans="1:5" x14ac:dyDescent="0.25">
      <c r="A147" s="67">
        <v>3170</v>
      </c>
      <c r="B147" s="66" t="s">
        <v>56</v>
      </c>
      <c r="C147" s="68">
        <v>0</v>
      </c>
      <c r="D147" s="68">
        <v>10214</v>
      </c>
      <c r="E147" s="68">
        <f t="shared" si="9"/>
        <v>10214</v>
      </c>
    </row>
    <row r="148" spans="1:5" x14ac:dyDescent="0.25">
      <c r="A148" s="67">
        <v>3180</v>
      </c>
      <c r="B148" s="66" t="s">
        <v>69</v>
      </c>
      <c r="C148" s="68">
        <v>0</v>
      </c>
      <c r="D148" s="68">
        <v>0</v>
      </c>
      <c r="E148" s="68">
        <f t="shared" si="9"/>
        <v>0</v>
      </c>
    </row>
    <row r="149" spans="1:5" ht="14.4" x14ac:dyDescent="0.3">
      <c r="A149" s="66"/>
      <c r="B149" s="161" t="s">
        <v>126</v>
      </c>
      <c r="C149" s="116">
        <f>+SUM(C142:C148)</f>
        <v>0</v>
      </c>
      <c r="D149" s="116">
        <f>+SUM(D142:D148)</f>
        <v>-0.54999999999563443</v>
      </c>
      <c r="E149" s="116">
        <f t="shared" si="9"/>
        <v>-0.54999999999563443</v>
      </c>
    </row>
    <row r="150" spans="1:5" x14ac:dyDescent="0.25">
      <c r="A150" s="66"/>
      <c r="B150" s="66"/>
      <c r="C150" s="66"/>
      <c r="D150" s="66"/>
      <c r="E150" s="66"/>
    </row>
    <row r="151" spans="1:5" ht="14.4" x14ac:dyDescent="0.3">
      <c r="A151" s="66"/>
      <c r="B151" s="161" t="s">
        <v>56</v>
      </c>
      <c r="C151" s="66"/>
      <c r="D151" s="66"/>
      <c r="E151" s="66"/>
    </row>
    <row r="152" spans="1:5" x14ac:dyDescent="0.25">
      <c r="A152" s="67">
        <v>3210</v>
      </c>
      <c r="B152" s="66" t="s">
        <v>70</v>
      </c>
      <c r="C152" s="68">
        <v>0</v>
      </c>
      <c r="D152" s="68">
        <v>-155865</v>
      </c>
      <c r="E152" s="68">
        <f>D152-C152</f>
        <v>-155865</v>
      </c>
    </row>
    <row r="153" spans="1:5" x14ac:dyDescent="0.25">
      <c r="A153" s="67">
        <v>3220</v>
      </c>
      <c r="B153" s="66" t="s">
        <v>71</v>
      </c>
      <c r="C153" s="68">
        <v>0</v>
      </c>
      <c r="D153" s="68">
        <v>-32306</v>
      </c>
      <c r="E153" s="68">
        <f>D153-C153</f>
        <v>-32306</v>
      </c>
    </row>
    <row r="154" spans="1:5" x14ac:dyDescent="0.25">
      <c r="A154" s="67">
        <v>3230</v>
      </c>
      <c r="B154" s="66" t="s">
        <v>223</v>
      </c>
      <c r="C154" s="68">
        <v>0</v>
      </c>
      <c r="D154" s="68">
        <v>-10214</v>
      </c>
      <c r="E154" s="68">
        <f>D154-C154</f>
        <v>-10214</v>
      </c>
    </row>
    <row r="155" spans="1:5" x14ac:dyDescent="0.25">
      <c r="A155" s="67">
        <v>3240</v>
      </c>
      <c r="B155" s="66" t="s">
        <v>73</v>
      </c>
      <c r="C155" s="68">
        <v>0</v>
      </c>
      <c r="D155" s="68">
        <v>180052.67</v>
      </c>
      <c r="E155" s="68">
        <f>D155-C155</f>
        <v>180052.67</v>
      </c>
    </row>
    <row r="156" spans="1:5" ht="14.4" x14ac:dyDescent="0.3">
      <c r="A156" s="66"/>
      <c r="B156" s="161" t="s">
        <v>127</v>
      </c>
      <c r="C156" s="116">
        <f>+SUM(C152:C155)</f>
        <v>0</v>
      </c>
      <c r="D156" s="116">
        <f>+SUM(D152:D155)</f>
        <v>-18332.329999999987</v>
      </c>
      <c r="E156" s="116">
        <f>D156-C156</f>
        <v>-18332.329999999987</v>
      </c>
    </row>
    <row r="157" spans="1:5" x14ac:dyDescent="0.25">
      <c r="A157" s="66"/>
      <c r="B157" s="66"/>
      <c r="C157" s="66"/>
      <c r="D157" s="66"/>
      <c r="E157" s="66"/>
    </row>
    <row r="158" spans="1:5" ht="14.4" x14ac:dyDescent="0.3">
      <c r="A158" s="66"/>
      <c r="B158" s="161" t="s">
        <v>188</v>
      </c>
      <c r="C158" s="66"/>
      <c r="D158" s="66"/>
      <c r="E158" s="66"/>
    </row>
    <row r="159" spans="1:5" x14ac:dyDescent="0.25">
      <c r="A159" s="67">
        <v>3310</v>
      </c>
      <c r="B159" s="66" t="s">
        <v>74</v>
      </c>
      <c r="C159" s="68">
        <v>0</v>
      </c>
      <c r="D159" s="68">
        <v>-310822</v>
      </c>
      <c r="E159" s="68">
        <f>D159-C159</f>
        <v>-310822</v>
      </c>
    </row>
    <row r="160" spans="1:5" x14ac:dyDescent="0.25">
      <c r="A160" s="67">
        <v>3320</v>
      </c>
      <c r="B160" s="66" t="s">
        <v>75</v>
      </c>
      <c r="C160" s="68">
        <v>0</v>
      </c>
      <c r="D160" s="68">
        <v>-54796</v>
      </c>
      <c r="E160" s="68">
        <f>D160-C160</f>
        <v>-54796</v>
      </c>
    </row>
    <row r="161" spans="1:5" x14ac:dyDescent="0.25">
      <c r="A161" s="67">
        <v>3330</v>
      </c>
      <c r="B161" s="66" t="s">
        <v>76</v>
      </c>
      <c r="C161" s="68">
        <v>0</v>
      </c>
      <c r="D161" s="68">
        <v>-6718</v>
      </c>
      <c r="E161" s="68">
        <f>D161-C161</f>
        <v>-6718</v>
      </c>
    </row>
    <row r="162" spans="1:5" x14ac:dyDescent="0.25">
      <c r="A162" s="67">
        <v>3340</v>
      </c>
      <c r="B162" s="66" t="s">
        <v>77</v>
      </c>
      <c r="C162" s="68">
        <v>0</v>
      </c>
      <c r="D162" s="68">
        <v>359538.49</v>
      </c>
      <c r="E162" s="68">
        <f>D162-C162</f>
        <v>359538.49</v>
      </c>
    </row>
    <row r="163" spans="1:5" ht="14.4" x14ac:dyDescent="0.3">
      <c r="A163" s="66"/>
      <c r="B163" s="161" t="s">
        <v>128</v>
      </c>
      <c r="C163" s="116">
        <f>+SUM(C159:C162)</f>
        <v>0</v>
      </c>
      <c r="D163" s="116">
        <f>+SUM(D159:D162)</f>
        <v>-12797.510000000009</v>
      </c>
      <c r="E163" s="116">
        <f>D163-C163</f>
        <v>-12797.510000000009</v>
      </c>
    </row>
    <row r="164" spans="1:5" x14ac:dyDescent="0.25">
      <c r="A164" s="66"/>
      <c r="B164" s="66"/>
      <c r="C164" s="66"/>
      <c r="D164" s="66"/>
      <c r="E164" s="66"/>
    </row>
    <row r="165" spans="1:5" ht="14.4" x14ac:dyDescent="0.3">
      <c r="A165" s="66"/>
      <c r="B165" s="161" t="s">
        <v>15</v>
      </c>
      <c r="C165" s="66"/>
      <c r="D165" s="66"/>
      <c r="E165" s="66"/>
    </row>
    <row r="166" spans="1:5" x14ac:dyDescent="0.25">
      <c r="A166" s="67">
        <v>3410</v>
      </c>
      <c r="B166" s="66" t="s">
        <v>78</v>
      </c>
      <c r="C166" s="68">
        <v>0</v>
      </c>
      <c r="D166" s="68">
        <v>-69550</v>
      </c>
      <c r="E166" s="68">
        <f>D166-C166</f>
        <v>-69550</v>
      </c>
    </row>
    <row r="167" spans="1:5" x14ac:dyDescent="0.25">
      <c r="A167" s="67">
        <v>3420</v>
      </c>
      <c r="B167" s="66" t="s">
        <v>79</v>
      </c>
      <c r="C167" s="68">
        <v>0</v>
      </c>
      <c r="D167" s="68">
        <v>-9876</v>
      </c>
      <c r="E167" s="68">
        <f>D167-C167</f>
        <v>-9876</v>
      </c>
    </row>
    <row r="168" spans="1:5" x14ac:dyDescent="0.25">
      <c r="A168" s="67">
        <v>3430</v>
      </c>
      <c r="B168" s="66" t="s">
        <v>80</v>
      </c>
      <c r="C168" s="68">
        <v>0</v>
      </c>
      <c r="D168" s="68">
        <v>79452.38</v>
      </c>
      <c r="E168" s="68">
        <f>D168-C168</f>
        <v>79452.38</v>
      </c>
    </row>
    <row r="169" spans="1:5" ht="14.4" x14ac:dyDescent="0.3">
      <c r="A169" s="66"/>
      <c r="B169" s="161" t="s">
        <v>129</v>
      </c>
      <c r="C169" s="116">
        <f>+SUM(C166:C168)</f>
        <v>0</v>
      </c>
      <c r="D169" s="116">
        <f>+SUM(D166:D168)</f>
        <v>26.380000000004657</v>
      </c>
      <c r="E169" s="116">
        <f>D169-C169</f>
        <v>26.380000000004657</v>
      </c>
    </row>
    <row r="170" spans="1:5" x14ac:dyDescent="0.25">
      <c r="A170" s="66"/>
      <c r="B170" s="66"/>
      <c r="C170" s="66"/>
      <c r="D170" s="66"/>
      <c r="E170" s="66"/>
    </row>
    <row r="171" spans="1:5" ht="14.4" x14ac:dyDescent="0.3">
      <c r="A171" s="66"/>
      <c r="B171" s="161" t="s">
        <v>12</v>
      </c>
      <c r="C171" s="66"/>
      <c r="D171" s="66"/>
      <c r="E171" s="66"/>
    </row>
    <row r="172" spans="1:5" x14ac:dyDescent="0.25">
      <c r="A172" s="67">
        <v>3510</v>
      </c>
      <c r="B172" s="66" t="s">
        <v>81</v>
      </c>
      <c r="C172" s="68">
        <v>0</v>
      </c>
      <c r="D172" s="68">
        <v>-73051</v>
      </c>
      <c r="E172" s="68">
        <f>D172-C172</f>
        <v>-73051</v>
      </c>
    </row>
    <row r="173" spans="1:5" x14ac:dyDescent="0.25">
      <c r="A173" s="67">
        <v>3520</v>
      </c>
      <c r="B173" s="66" t="s">
        <v>82</v>
      </c>
      <c r="C173" s="68">
        <v>800</v>
      </c>
      <c r="D173" s="68">
        <v>-3980</v>
      </c>
      <c r="E173" s="68">
        <f>D173-C173</f>
        <v>-4780</v>
      </c>
    </row>
    <row r="174" spans="1:5" x14ac:dyDescent="0.25">
      <c r="A174" s="67">
        <v>3530</v>
      </c>
      <c r="B174" s="66" t="s">
        <v>83</v>
      </c>
      <c r="C174" s="68">
        <v>0</v>
      </c>
      <c r="D174" s="68">
        <v>77035.39</v>
      </c>
      <c r="E174" s="68">
        <f>D174-C174</f>
        <v>77035.39</v>
      </c>
    </row>
    <row r="175" spans="1:5" ht="14.4" x14ac:dyDescent="0.3">
      <c r="A175" s="66"/>
      <c r="B175" s="161" t="s">
        <v>130</v>
      </c>
      <c r="C175" s="116">
        <f>+SUM(C172:C174)</f>
        <v>800</v>
      </c>
      <c r="D175" s="116">
        <f>+SUM(D172:D174)</f>
        <v>4.3899999999994179</v>
      </c>
      <c r="E175" s="116">
        <f>D175-C175</f>
        <v>-795.61000000000058</v>
      </c>
    </row>
    <row r="176" spans="1:5" x14ac:dyDescent="0.25">
      <c r="A176" s="66"/>
      <c r="B176" s="66"/>
      <c r="C176" s="66"/>
      <c r="D176" s="66"/>
      <c r="E176" s="66"/>
    </row>
    <row r="177" spans="1:5" ht="14.4" x14ac:dyDescent="0.3">
      <c r="A177" s="66"/>
      <c r="B177" s="161" t="s">
        <v>5</v>
      </c>
      <c r="C177" s="66"/>
      <c r="D177" s="66"/>
      <c r="E177" s="66"/>
    </row>
    <row r="178" spans="1:5" x14ac:dyDescent="0.25">
      <c r="A178" s="67">
        <v>3610</v>
      </c>
      <c r="B178" s="66" t="s">
        <v>84</v>
      </c>
      <c r="C178" s="68">
        <v>0</v>
      </c>
      <c r="D178" s="68">
        <v>-19627.5</v>
      </c>
      <c r="E178" s="68">
        <f>D178-C178</f>
        <v>-19627.5</v>
      </c>
    </row>
    <row r="179" spans="1:5" x14ac:dyDescent="0.25">
      <c r="A179" s="67">
        <v>3620</v>
      </c>
      <c r="B179" s="66" t="s">
        <v>85</v>
      </c>
      <c r="C179" s="68">
        <v>0</v>
      </c>
      <c r="D179" s="68">
        <v>-2930</v>
      </c>
      <c r="E179" s="68">
        <f>D179-C179</f>
        <v>-2930</v>
      </c>
    </row>
    <row r="180" spans="1:5" x14ac:dyDescent="0.25">
      <c r="A180" s="67">
        <v>3625</v>
      </c>
      <c r="B180" s="66" t="s">
        <v>236</v>
      </c>
      <c r="C180" s="68">
        <v>0</v>
      </c>
      <c r="D180" s="68">
        <v>-1450</v>
      </c>
      <c r="E180" s="68">
        <f>D180-C180</f>
        <v>-1450</v>
      </c>
    </row>
    <row r="181" spans="1:5" x14ac:dyDescent="0.25">
      <c r="A181" s="67">
        <v>3630</v>
      </c>
      <c r="B181" s="66" t="s">
        <v>86</v>
      </c>
      <c r="C181" s="68">
        <v>0</v>
      </c>
      <c r="D181" s="68">
        <v>22316.400000000001</v>
      </c>
      <c r="E181" s="68">
        <f>D181-C181</f>
        <v>22316.400000000001</v>
      </c>
    </row>
    <row r="182" spans="1:5" ht="14.4" x14ac:dyDescent="0.3">
      <c r="A182" s="66"/>
      <c r="B182" s="161" t="s">
        <v>131</v>
      </c>
      <c r="C182" s="116">
        <f>+SUM(C178:C181)</f>
        <v>0</v>
      </c>
      <c r="D182" s="116">
        <f>+SUM(D178:D181)</f>
        <v>-1691.0999999999985</v>
      </c>
      <c r="E182" s="116">
        <f>D182-C182</f>
        <v>-1691.0999999999985</v>
      </c>
    </row>
    <row r="183" spans="1:5" x14ac:dyDescent="0.25">
      <c r="A183" s="66"/>
      <c r="B183" s="66"/>
      <c r="C183" s="66"/>
      <c r="D183" s="66"/>
      <c r="E183" s="66"/>
    </row>
    <row r="184" spans="1:5" ht="14.4" x14ac:dyDescent="0.3">
      <c r="A184" s="66"/>
      <c r="B184" s="161" t="s">
        <v>132</v>
      </c>
      <c r="C184" s="66"/>
      <c r="D184" s="66"/>
      <c r="E184" s="66"/>
    </row>
    <row r="185" spans="1:5" x14ac:dyDescent="0.25">
      <c r="A185" s="67">
        <v>3710</v>
      </c>
      <c r="B185" s="66" t="s">
        <v>87</v>
      </c>
      <c r="C185" s="68">
        <v>0</v>
      </c>
      <c r="D185" s="68">
        <v>0</v>
      </c>
      <c r="E185" s="68">
        <f>D185-C185</f>
        <v>0</v>
      </c>
    </row>
    <row r="186" spans="1:5" x14ac:dyDescent="0.25">
      <c r="A186" s="67">
        <v>3720</v>
      </c>
      <c r="B186" s="66" t="s">
        <v>88</v>
      </c>
      <c r="C186" s="68">
        <v>0</v>
      </c>
      <c r="D186" s="68">
        <v>0</v>
      </c>
      <c r="E186" s="68">
        <f>D186-C186</f>
        <v>0</v>
      </c>
    </row>
    <row r="187" spans="1:5" ht="14.4" x14ac:dyDescent="0.3">
      <c r="A187" s="66"/>
      <c r="B187" s="161" t="s">
        <v>133</v>
      </c>
      <c r="C187" s="116">
        <f>+SUM(C185:C186)</f>
        <v>0</v>
      </c>
      <c r="D187" s="116">
        <f>+SUM(D185:D186)</f>
        <v>0</v>
      </c>
      <c r="E187" s="116">
        <f>D187-C187</f>
        <v>0</v>
      </c>
    </row>
    <row r="188" spans="1:5" x14ac:dyDescent="0.25">
      <c r="A188" s="66"/>
      <c r="B188" s="66"/>
      <c r="C188" s="66"/>
      <c r="D188" s="66"/>
      <c r="E188" s="66"/>
    </row>
    <row r="189" spans="1:5" ht="14.4" x14ac:dyDescent="0.3">
      <c r="A189" s="66"/>
      <c r="B189" s="161" t="s">
        <v>208</v>
      </c>
      <c r="C189" s="66"/>
      <c r="D189" s="66"/>
      <c r="E189" s="66"/>
    </row>
    <row r="190" spans="1:5" x14ac:dyDescent="0.25">
      <c r="A190" s="67">
        <v>3910</v>
      </c>
      <c r="B190" s="66" t="s">
        <v>210</v>
      </c>
      <c r="C190" s="68">
        <v>0</v>
      </c>
      <c r="D190" s="68">
        <v>-14690.22</v>
      </c>
      <c r="E190" s="68">
        <f>D190-C190</f>
        <v>-14690.22</v>
      </c>
    </row>
    <row r="191" spans="1:5" x14ac:dyDescent="0.25">
      <c r="A191" s="67">
        <v>3920</v>
      </c>
      <c r="B191" s="66" t="s">
        <v>211</v>
      </c>
      <c r="C191" s="68">
        <v>0</v>
      </c>
      <c r="D191" s="68">
        <v>14691.37</v>
      </c>
      <c r="E191" s="68">
        <f>D191-C191</f>
        <v>14691.37</v>
      </c>
    </row>
    <row r="192" spans="1:5" ht="14.4" x14ac:dyDescent="0.3">
      <c r="A192" s="66"/>
      <c r="B192" s="161" t="s">
        <v>212</v>
      </c>
      <c r="C192" s="116">
        <f>+SUM(C190:C191)</f>
        <v>0</v>
      </c>
      <c r="D192" s="116">
        <f>+SUM(D190:D191)</f>
        <v>1.1500000000014552</v>
      </c>
      <c r="E192" s="116">
        <f>D192-C192</f>
        <v>1.1500000000014552</v>
      </c>
    </row>
    <row r="193" spans="1:5" ht="14.4" x14ac:dyDescent="0.3">
      <c r="A193" s="66"/>
      <c r="B193" s="161" t="s">
        <v>209</v>
      </c>
      <c r="C193" s="116">
        <f>+SUM(C142:C148)+SUM(C152:C155)+SUM(C159:C162)+SUM(C166:C168)+SUM(C172:C174)+SUM(C178:C181)+SUM(C185:C186)+SUM(C190:C191)</f>
        <v>800</v>
      </c>
      <c r="D193" s="116">
        <f>+SUM(D142:D148)+SUM(D152:D155)+SUM(D159:D162)+SUM(D166:D168)+SUM(D172:D174)+SUM(D178:D181)+SUM(D185:D186)+SUM(D190:D191)</f>
        <v>-32789.569999999985</v>
      </c>
      <c r="E193" s="116">
        <f>D193-C193</f>
        <v>-33589.569999999985</v>
      </c>
    </row>
    <row r="194" spans="1:5" ht="14.4" x14ac:dyDescent="0.3">
      <c r="A194" s="66"/>
      <c r="B194" s="161" t="s">
        <v>136</v>
      </c>
      <c r="C194" s="116">
        <f>+SUM(C6:C9)+SUM(C15:C21)+SUM(C25:C31)+SUM(C35:C44)+SUM(C48:C51)+SUM(C55:C60)+SUM(C62:C63)+SUM(C66:C70)+SUM(C74:C83)+SUM(C87:C87)+SUM(C92:C93)+SUM(C96:C100)+SUM(C104:C107)+SUM(C111:C115)+SUM(C119:C121)+SUM(C125:C126)+SUM(C130:C133)+SUM(C142:C148)+SUM(C152:C155)+SUM(C159:C162)+SUM(C166:C168)+SUM(C172:C174)+SUM(C178:C181)+SUM(C185:C186)+SUM(C190:C191)</f>
        <v>832.63999999998487</v>
      </c>
      <c r="D194" s="116">
        <f>+SUM(D6:D9)+SUM(D15:D21)+SUM(D25:D31)+SUM(D35:D44)+SUM(D48:D51)+SUM(D55:D60)+SUM(D62:D63)+SUM(D66:D70)+SUM(D74:D83)+SUM(D87:D87)+SUM(D92:D93)+SUM(D96:D100)+SUM(D104:D107)+SUM(D111:D115)+SUM(D119:D121)+SUM(D125:D126)+SUM(D130:D133)+SUM(D142:D148)+SUM(D152:D155)+SUM(D159:D162)+SUM(D166:D168)+SUM(D172:D174)+SUM(D178:D181)+SUM(D185:D186)+SUM(D190:D191)</f>
        <v>-93274.32</v>
      </c>
      <c r="E194" s="116">
        <f>D194-C194</f>
        <v>-94106.959999999992</v>
      </c>
    </row>
    <row r="195" spans="1:5" x14ac:dyDescent="0.25">
      <c r="A195" s="66"/>
    </row>
    <row r="196" spans="1:5" ht="14.4" x14ac:dyDescent="0.3">
      <c r="A196" s="66"/>
      <c r="B196" s="161" t="s">
        <v>137</v>
      </c>
      <c r="C196" s="66"/>
      <c r="D196" s="66"/>
      <c r="E196" s="66"/>
    </row>
    <row r="197" spans="1:5" x14ac:dyDescent="0.25">
      <c r="A197" s="66"/>
      <c r="B197" s="66"/>
      <c r="C197" s="66"/>
      <c r="D197" s="66"/>
      <c r="E197" s="66"/>
    </row>
    <row r="198" spans="1:5" ht="14.4" x14ac:dyDescent="0.3">
      <c r="A198" s="66"/>
      <c r="B198" s="161" t="s">
        <v>138</v>
      </c>
      <c r="C198" s="66"/>
      <c r="D198" s="66"/>
      <c r="E198" s="66"/>
    </row>
    <row r="199" spans="1:5" x14ac:dyDescent="0.25">
      <c r="A199" s="66"/>
      <c r="B199" s="66"/>
      <c r="C199" s="66"/>
      <c r="D199" s="66"/>
      <c r="E199" s="66"/>
    </row>
    <row r="200" spans="1:5" ht="14.4" x14ac:dyDescent="0.3">
      <c r="A200" s="66"/>
      <c r="B200" s="161" t="s">
        <v>356</v>
      </c>
      <c r="C200" s="66"/>
      <c r="D200" s="66"/>
      <c r="E200" s="66"/>
    </row>
    <row r="201" spans="1:5" x14ac:dyDescent="0.25">
      <c r="A201" s="67">
        <v>5101</v>
      </c>
      <c r="B201" s="66" t="s">
        <v>206</v>
      </c>
      <c r="C201" s="68">
        <v>0</v>
      </c>
      <c r="D201" s="68">
        <v>19328.150000000001</v>
      </c>
      <c r="E201" s="68">
        <f t="shared" ref="E201:E206" si="10">D201-C201</f>
        <v>19328.150000000001</v>
      </c>
    </row>
    <row r="202" spans="1:5" x14ac:dyDescent="0.25">
      <c r="A202" s="67">
        <v>5102</v>
      </c>
      <c r="B202" s="66" t="s">
        <v>52</v>
      </c>
      <c r="C202" s="68">
        <v>0</v>
      </c>
      <c r="D202" s="68">
        <v>86403.13</v>
      </c>
      <c r="E202" s="68">
        <f t="shared" si="10"/>
        <v>86403.13</v>
      </c>
    </row>
    <row r="203" spans="1:5" x14ac:dyDescent="0.25">
      <c r="A203" s="67">
        <v>5104</v>
      </c>
      <c r="B203" s="66" t="s">
        <v>207</v>
      </c>
      <c r="C203" s="68">
        <v>0</v>
      </c>
      <c r="D203" s="68">
        <v>172513.28</v>
      </c>
      <c r="E203" s="68">
        <f t="shared" si="10"/>
        <v>172513.28</v>
      </c>
    </row>
    <row r="204" spans="1:5" x14ac:dyDescent="0.25">
      <c r="A204" s="67">
        <v>5106</v>
      </c>
      <c r="B204" s="66" t="s">
        <v>140</v>
      </c>
      <c r="C204" s="68">
        <v>0</v>
      </c>
      <c r="D204" s="68">
        <v>10039.43</v>
      </c>
      <c r="E204" s="68">
        <f t="shared" si="10"/>
        <v>10039.43</v>
      </c>
    </row>
    <row r="205" spans="1:5" x14ac:dyDescent="0.25">
      <c r="A205" s="67">
        <v>5108</v>
      </c>
      <c r="B205" s="66" t="s">
        <v>295</v>
      </c>
      <c r="C205" s="68">
        <v>0</v>
      </c>
      <c r="D205" s="68">
        <v>117101.4</v>
      </c>
      <c r="E205" s="68">
        <f t="shared" si="10"/>
        <v>117101.4</v>
      </c>
    </row>
    <row r="206" spans="1:5" ht="14.4" x14ac:dyDescent="0.3">
      <c r="A206" s="66"/>
      <c r="B206" s="161" t="s">
        <v>357</v>
      </c>
      <c r="C206" s="116">
        <f>+SUM(C201:C205)</f>
        <v>0</v>
      </c>
      <c r="D206" s="116">
        <f>+SUM(D201:D205)</f>
        <v>405385.39</v>
      </c>
      <c r="E206" s="116">
        <f t="shared" si="10"/>
        <v>405385.39</v>
      </c>
    </row>
    <row r="207" spans="1:5" x14ac:dyDescent="0.25">
      <c r="A207" s="66"/>
      <c r="B207" s="66"/>
      <c r="C207" s="66"/>
      <c r="D207" s="66"/>
      <c r="E207" s="66"/>
    </row>
    <row r="208" spans="1:5" ht="14.4" x14ac:dyDescent="0.3">
      <c r="A208" s="66"/>
      <c r="B208" s="161" t="s">
        <v>142</v>
      </c>
      <c r="C208" s="66"/>
      <c r="D208" s="66"/>
      <c r="E208" s="66"/>
    </row>
    <row r="209" spans="1:5" x14ac:dyDescent="0.25">
      <c r="A209" s="67">
        <v>5221</v>
      </c>
      <c r="B209" s="66" t="s">
        <v>196</v>
      </c>
      <c r="C209" s="68">
        <v>0</v>
      </c>
      <c r="D209" s="68">
        <v>550000</v>
      </c>
      <c r="E209" s="68">
        <f t="shared" ref="E209:E214" si="11">D209-C209</f>
        <v>550000</v>
      </c>
    </row>
    <row r="210" spans="1:5" x14ac:dyDescent="0.25">
      <c r="A210" s="67">
        <v>5222</v>
      </c>
      <c r="B210" s="66" t="s">
        <v>227</v>
      </c>
      <c r="C210" s="68">
        <v>0</v>
      </c>
      <c r="D210" s="68">
        <v>2550000</v>
      </c>
      <c r="E210" s="68">
        <f t="shared" si="11"/>
        <v>2550000</v>
      </c>
    </row>
    <row r="211" spans="1:5" x14ac:dyDescent="0.25">
      <c r="A211" s="67">
        <v>5223</v>
      </c>
      <c r="B211" s="66" t="s">
        <v>197</v>
      </c>
      <c r="C211" s="68">
        <v>0</v>
      </c>
      <c r="D211" s="68">
        <v>2500000</v>
      </c>
      <c r="E211" s="68">
        <f t="shared" si="11"/>
        <v>2500000</v>
      </c>
    </row>
    <row r="212" spans="1:5" ht="14.4" x14ac:dyDescent="0.3">
      <c r="A212" s="66"/>
      <c r="B212" s="161" t="s">
        <v>143</v>
      </c>
      <c r="C212" s="116">
        <f>+SUM(C209:C211)</f>
        <v>0</v>
      </c>
      <c r="D212" s="116">
        <f>+SUM(D209:D211)</f>
        <v>5600000</v>
      </c>
      <c r="E212" s="116">
        <f t="shared" si="11"/>
        <v>5600000</v>
      </c>
    </row>
    <row r="213" spans="1:5" x14ac:dyDescent="0.25">
      <c r="A213" s="67">
        <v>5300</v>
      </c>
      <c r="B213" s="66" t="s">
        <v>144</v>
      </c>
      <c r="C213" s="68">
        <v>0</v>
      </c>
      <c r="D213" s="68">
        <v>3322418.02</v>
      </c>
      <c r="E213" s="68">
        <f t="shared" si="11"/>
        <v>3322418.02</v>
      </c>
    </row>
    <row r="214" spans="1:5" ht="14.4" x14ac:dyDescent="0.3">
      <c r="A214" s="66"/>
      <c r="B214" s="161" t="s">
        <v>145</v>
      </c>
      <c r="C214" s="116">
        <f>+SUM(C201:C205)+SUM(C209:C211)+SUM(C213:C213)</f>
        <v>0</v>
      </c>
      <c r="D214" s="116">
        <f>+SUM(D201:D205)+SUM(D209:D211)+SUM(D213:D213)</f>
        <v>9327803.4100000001</v>
      </c>
      <c r="E214" s="116">
        <f t="shared" si="11"/>
        <v>9327803.4100000001</v>
      </c>
    </row>
    <row r="215" spans="1:5" x14ac:dyDescent="0.25">
      <c r="A215" s="66"/>
      <c r="B215" s="66"/>
      <c r="C215" s="66"/>
      <c r="D215" s="66"/>
      <c r="E215" s="66"/>
    </row>
    <row r="216" spans="1:5" ht="14.4" x14ac:dyDescent="0.3">
      <c r="A216" s="66"/>
      <c r="B216" s="161" t="s">
        <v>146</v>
      </c>
      <c r="C216" s="66"/>
      <c r="D216" s="66"/>
      <c r="E216" s="66"/>
    </row>
    <row r="217" spans="1:5" x14ac:dyDescent="0.25">
      <c r="A217" s="66"/>
      <c r="B217" s="66"/>
      <c r="C217" s="66"/>
      <c r="D217" s="66"/>
      <c r="E217" s="66"/>
    </row>
    <row r="218" spans="1:5" ht="14.4" x14ac:dyDescent="0.3">
      <c r="A218" s="66"/>
      <c r="B218" s="161" t="s">
        <v>147</v>
      </c>
      <c r="C218" s="66"/>
      <c r="D218" s="66"/>
      <c r="E218" s="66"/>
    </row>
    <row r="219" spans="1:5" x14ac:dyDescent="0.25">
      <c r="A219" s="67">
        <v>5420</v>
      </c>
      <c r="B219" s="66" t="s">
        <v>147</v>
      </c>
      <c r="C219" s="68">
        <v>0</v>
      </c>
      <c r="D219" s="68">
        <v>52636.39</v>
      </c>
      <c r="E219" s="68">
        <f>D219-C219</f>
        <v>52636.39</v>
      </c>
    </row>
    <row r="220" spans="1:5" ht="14.4" x14ac:dyDescent="0.3">
      <c r="A220" s="66"/>
      <c r="B220" s="161" t="s">
        <v>148</v>
      </c>
      <c r="C220" s="116">
        <f>+SUM(C219:C219)</f>
        <v>0</v>
      </c>
      <c r="D220" s="116">
        <f>+SUM(D219:D219)</f>
        <v>52636.39</v>
      </c>
      <c r="E220" s="116">
        <f>D220-C220</f>
        <v>52636.39</v>
      </c>
    </row>
    <row r="221" spans="1:5" x14ac:dyDescent="0.25">
      <c r="A221" s="66"/>
      <c r="B221" s="66"/>
      <c r="C221" s="66"/>
      <c r="D221" s="66"/>
      <c r="E221" s="66"/>
    </row>
    <row r="222" spans="1:5" ht="14.4" x14ac:dyDescent="0.3">
      <c r="A222" s="66"/>
      <c r="B222" s="161" t="s">
        <v>149</v>
      </c>
      <c r="C222" s="66"/>
      <c r="D222" s="66"/>
      <c r="E222" s="66"/>
    </row>
    <row r="223" spans="1:5" x14ac:dyDescent="0.25">
      <c r="A223" s="67">
        <v>5519</v>
      </c>
      <c r="B223" s="66" t="s">
        <v>150</v>
      </c>
      <c r="C223" s="68">
        <v>0</v>
      </c>
      <c r="D223" s="68">
        <v>0</v>
      </c>
      <c r="E223" s="68">
        <f t="shared" ref="E223:E233" si="12">D223-C223</f>
        <v>0</v>
      </c>
    </row>
    <row r="224" spans="1:5" x14ac:dyDescent="0.25">
      <c r="A224" s="67">
        <v>5520</v>
      </c>
      <c r="B224" s="66" t="s">
        <v>151</v>
      </c>
      <c r="C224" s="68">
        <v>0</v>
      </c>
      <c r="D224" s="68">
        <v>0</v>
      </c>
      <c r="E224" s="68">
        <f t="shared" si="12"/>
        <v>0</v>
      </c>
    </row>
    <row r="225" spans="1:5" x14ac:dyDescent="0.25">
      <c r="A225" s="67">
        <v>5530</v>
      </c>
      <c r="B225" s="66" t="s">
        <v>258</v>
      </c>
      <c r="C225" s="68">
        <v>0</v>
      </c>
      <c r="D225" s="68">
        <v>0</v>
      </c>
      <c r="E225" s="68">
        <f t="shared" si="12"/>
        <v>0</v>
      </c>
    </row>
    <row r="226" spans="1:5" x14ac:dyDescent="0.25">
      <c r="A226" s="67">
        <v>5550</v>
      </c>
      <c r="B226" s="66" t="s">
        <v>152</v>
      </c>
      <c r="C226" s="68">
        <v>0</v>
      </c>
      <c r="D226" s="68">
        <v>0</v>
      </c>
      <c r="E226" s="68">
        <f t="shared" si="12"/>
        <v>0</v>
      </c>
    </row>
    <row r="227" spans="1:5" x14ac:dyDescent="0.25">
      <c r="A227" s="67">
        <v>5560</v>
      </c>
      <c r="B227" s="66" t="s">
        <v>153</v>
      </c>
      <c r="C227" s="68">
        <v>0</v>
      </c>
      <c r="D227" s="68">
        <v>0</v>
      </c>
      <c r="E227" s="68">
        <f t="shared" si="12"/>
        <v>0</v>
      </c>
    </row>
    <row r="228" spans="1:5" x14ac:dyDescent="0.25">
      <c r="A228" s="67">
        <v>5570</v>
      </c>
      <c r="B228" s="66" t="s">
        <v>154</v>
      </c>
      <c r="C228" s="68">
        <v>0</v>
      </c>
      <c r="D228" s="68">
        <v>10846</v>
      </c>
      <c r="E228" s="68">
        <f t="shared" si="12"/>
        <v>10846</v>
      </c>
    </row>
    <row r="229" spans="1:5" x14ac:dyDescent="0.25">
      <c r="A229" s="67">
        <v>5580</v>
      </c>
      <c r="B229" s="66" t="s">
        <v>237</v>
      </c>
      <c r="C229" s="68">
        <v>0</v>
      </c>
      <c r="D229" s="68">
        <v>11242.14</v>
      </c>
      <c r="E229" s="68">
        <f t="shared" si="12"/>
        <v>11242.14</v>
      </c>
    </row>
    <row r="230" spans="1:5" x14ac:dyDescent="0.25">
      <c r="A230" s="67">
        <v>5582</v>
      </c>
      <c r="B230" s="66" t="s">
        <v>238</v>
      </c>
      <c r="C230" s="68">
        <v>0</v>
      </c>
      <c r="D230" s="68">
        <v>7000</v>
      </c>
      <c r="E230" s="68">
        <f t="shared" si="12"/>
        <v>7000</v>
      </c>
    </row>
    <row r="231" spans="1:5" x14ac:dyDescent="0.25">
      <c r="A231" s="67">
        <v>5584</v>
      </c>
      <c r="B231" s="66" t="s">
        <v>239</v>
      </c>
      <c r="C231" s="68">
        <v>0</v>
      </c>
      <c r="D231" s="68">
        <v>9500</v>
      </c>
      <c r="E231" s="68">
        <f t="shared" si="12"/>
        <v>9500</v>
      </c>
    </row>
    <row r="232" spans="1:5" x14ac:dyDescent="0.25">
      <c r="A232" s="67">
        <v>5590</v>
      </c>
      <c r="B232" s="66" t="s">
        <v>297</v>
      </c>
      <c r="C232" s="68">
        <v>0</v>
      </c>
      <c r="D232" s="68">
        <v>0</v>
      </c>
      <c r="E232" s="68">
        <f t="shared" si="12"/>
        <v>0</v>
      </c>
    </row>
    <row r="233" spans="1:5" ht="14.4" x14ac:dyDescent="0.3">
      <c r="A233" s="66"/>
      <c r="B233" s="161" t="s">
        <v>155</v>
      </c>
      <c r="C233" s="116">
        <f>+SUM(C223:C232)</f>
        <v>0</v>
      </c>
      <c r="D233" s="116">
        <f>+SUM(D223:D232)</f>
        <v>38588.14</v>
      </c>
      <c r="E233" s="116">
        <f t="shared" si="12"/>
        <v>38588.14</v>
      </c>
    </row>
    <row r="234" spans="1:5" x14ac:dyDescent="0.25">
      <c r="A234" s="66"/>
      <c r="B234" s="66"/>
      <c r="C234" s="66"/>
      <c r="D234" s="66"/>
      <c r="E234" s="66"/>
    </row>
    <row r="235" spans="1:5" ht="14.4" x14ac:dyDescent="0.3">
      <c r="A235" s="66"/>
      <c r="B235" s="161" t="s">
        <v>156</v>
      </c>
      <c r="C235" s="66"/>
      <c r="D235" s="66"/>
      <c r="E235" s="66"/>
    </row>
    <row r="236" spans="1:5" x14ac:dyDescent="0.25">
      <c r="A236" s="67">
        <v>5910</v>
      </c>
      <c r="B236" s="66" t="s">
        <v>157</v>
      </c>
      <c r="C236" s="68">
        <v>0</v>
      </c>
      <c r="D236" s="68">
        <v>0</v>
      </c>
      <c r="E236" s="68">
        <f t="shared" ref="E236:E242" si="13">D236-C236</f>
        <v>0</v>
      </c>
    </row>
    <row r="237" spans="1:5" x14ac:dyDescent="0.25">
      <c r="A237" s="67">
        <v>5920</v>
      </c>
      <c r="B237" s="66" t="s">
        <v>240</v>
      </c>
      <c r="C237" s="68">
        <v>0</v>
      </c>
      <c r="D237" s="68">
        <v>0</v>
      </c>
      <c r="E237" s="68">
        <f t="shared" si="13"/>
        <v>0</v>
      </c>
    </row>
    <row r="238" spans="1:5" x14ac:dyDescent="0.25">
      <c r="A238" s="67">
        <v>5930</v>
      </c>
      <c r="B238" s="66" t="s">
        <v>259</v>
      </c>
      <c r="C238" s="68">
        <v>0</v>
      </c>
      <c r="D238" s="68">
        <v>0</v>
      </c>
      <c r="E238" s="68">
        <f t="shared" si="13"/>
        <v>0</v>
      </c>
    </row>
    <row r="239" spans="1:5" x14ac:dyDescent="0.25">
      <c r="A239" s="67">
        <v>5940</v>
      </c>
      <c r="B239" s="66" t="s">
        <v>260</v>
      </c>
      <c r="C239" s="68">
        <v>0</v>
      </c>
      <c r="D239" s="68">
        <v>1145865.93</v>
      </c>
      <c r="E239" s="68">
        <f t="shared" si="13"/>
        <v>1145865.93</v>
      </c>
    </row>
    <row r="240" spans="1:5" ht="14.4" x14ac:dyDescent="0.3">
      <c r="A240" s="66"/>
      <c r="B240" s="161" t="s">
        <v>158</v>
      </c>
      <c r="C240" s="116">
        <f>+SUM(C236:C239)</f>
        <v>0</v>
      </c>
      <c r="D240" s="116">
        <f>+SUM(D236:D239)</f>
        <v>1145865.93</v>
      </c>
      <c r="E240" s="116">
        <f t="shared" si="13"/>
        <v>1145865.93</v>
      </c>
    </row>
    <row r="241" spans="1:5" ht="14.4" x14ac:dyDescent="0.3">
      <c r="A241" s="66"/>
      <c r="B241" s="161" t="s">
        <v>160</v>
      </c>
      <c r="C241" s="116">
        <f>+SUM(C201:C205)+SUM(C209:C211)+SUM(C213:C213)+SUM(C219:C219)+SUM(C223:C232)+SUM(C236:C239)</f>
        <v>0</v>
      </c>
      <c r="D241" s="116">
        <f>+SUM(D201:D205)+SUM(D209:D211)+SUM(D213:D213)+SUM(D219:D219)+SUM(D223:D232)+SUM(D236:D239)</f>
        <v>10564893.870000001</v>
      </c>
      <c r="E241" s="116">
        <f t="shared" si="13"/>
        <v>10564893.870000001</v>
      </c>
    </row>
    <row r="242" spans="1:5" ht="14.4" x14ac:dyDescent="0.3">
      <c r="A242" s="66"/>
      <c r="B242" s="161" t="s">
        <v>159</v>
      </c>
      <c r="C242" s="116">
        <f>+SUM(C219:C219)+SUM(C223:C232)+SUM(C236:C239)</f>
        <v>0</v>
      </c>
      <c r="D242" s="116">
        <f>+SUM(D219:D219)+SUM(D223:D232)+SUM(D236:D239)</f>
        <v>1237090.46</v>
      </c>
      <c r="E242" s="116">
        <f t="shared" si="13"/>
        <v>1237090.46</v>
      </c>
    </row>
    <row r="243" spans="1:5" x14ac:dyDescent="0.25">
      <c r="A243" s="66"/>
    </row>
    <row r="244" spans="1:5" ht="14.4" x14ac:dyDescent="0.3">
      <c r="A244" s="66"/>
      <c r="B244" s="161" t="s">
        <v>161</v>
      </c>
      <c r="C244" s="66"/>
      <c r="D244" s="66"/>
      <c r="E244" s="66"/>
    </row>
    <row r="245" spans="1:5" x14ac:dyDescent="0.25">
      <c r="A245" s="66"/>
      <c r="B245" s="66"/>
      <c r="C245" s="66"/>
      <c r="D245" s="66"/>
      <c r="E245" s="66"/>
    </row>
    <row r="246" spans="1:5" ht="14.4" x14ac:dyDescent="0.3">
      <c r="A246" s="66"/>
      <c r="B246" s="161" t="s">
        <v>162</v>
      </c>
      <c r="C246" s="66"/>
      <c r="D246" s="66"/>
      <c r="E246" s="66"/>
    </row>
    <row r="247" spans="1:5" x14ac:dyDescent="0.25">
      <c r="A247" s="67">
        <v>6110</v>
      </c>
      <c r="B247" s="66" t="s">
        <v>163</v>
      </c>
      <c r="C247" s="68">
        <v>0</v>
      </c>
      <c r="D247" s="68">
        <v>-5842323.3099999996</v>
      </c>
      <c r="E247" s="68">
        <f>D247-C247</f>
        <v>-5842323.3099999996</v>
      </c>
    </row>
    <row r="248" spans="1:5" ht="14.4" x14ac:dyDescent="0.3">
      <c r="A248" s="66"/>
      <c r="B248" s="161" t="s">
        <v>164</v>
      </c>
      <c r="C248" s="116">
        <f>+SUM(C6:C9)+SUM(C15:C21)+SUM(C25:C31)+SUM(C35:C44)+SUM(C48:C51)+SUM(C55:C60)+SUM(C62:C63)+SUM(C66:C70)+SUM(C74:C83)+SUM(C87:C87)+SUM(C92:C93)+SUM(C96:C100)+SUM(C104:C107)+SUM(C111:C115)+SUM(C119:C121)+SUM(C125:C126)+SUM(C130:C133)+SUM(C142:C148)+SUM(C152:C155)+SUM(C159:C162)+SUM(C166:C168)+SUM(C172:C174)+SUM(C178:C181)+SUM(C185:C186)+SUM(C190:C191)</f>
        <v>832.63999999998487</v>
      </c>
      <c r="D248" s="116">
        <f>+SUM(D6:D9)+SUM(D15:D21)+SUM(D25:D31)+SUM(D35:D44)+SUM(D48:D51)+SUM(D55:D60)+SUM(D62:D63)+SUM(D66:D70)+SUM(D74:D83)+SUM(D87:D87)+SUM(D92:D93)+SUM(D96:D100)+SUM(D104:D107)+SUM(D111:D115)+SUM(D119:D121)+SUM(D125:D126)+SUM(D130:D133)+SUM(D142:D148)+SUM(D152:D155)+SUM(D159:D162)+SUM(D166:D168)+SUM(D172:D174)+SUM(D178:D181)+SUM(D185:D186)+SUM(D190:D191)</f>
        <v>-93274.32</v>
      </c>
      <c r="E248" s="116">
        <f>D248-C248</f>
        <v>-94106.959999999992</v>
      </c>
    </row>
    <row r="249" spans="1:5" x14ac:dyDescent="0.25">
      <c r="A249" s="67">
        <v>6130</v>
      </c>
      <c r="B249" s="66" t="s">
        <v>245</v>
      </c>
      <c r="C249" s="68">
        <v>0</v>
      </c>
      <c r="D249" s="68">
        <v>-112697.56</v>
      </c>
      <c r="E249" s="68">
        <f>D249-C249</f>
        <v>-112697.56</v>
      </c>
    </row>
    <row r="250" spans="1:5" ht="14.4" x14ac:dyDescent="0.3">
      <c r="A250" s="66"/>
      <c r="B250" s="161" t="s">
        <v>166</v>
      </c>
      <c r="C250" s="116">
        <f>+SUM(C6:C9)+SUM(C15:C21)+SUM(C25:C31)+SUM(C35:C44)+SUM(C48:C51)+SUM(C55:C60)+SUM(C62:C63)+SUM(C66:C70)+SUM(C74:C83)+SUM(C87:C87)+SUM(C92:C93)+SUM(C96:C100)+SUM(C104:C107)+SUM(C111:C115)+SUM(C119:C121)+SUM(C125:C126)+SUM(C130:C133)+SUM(C142:C148)+SUM(C152:C155)+SUM(C159:C162)+SUM(C166:C168)+SUM(C172:C174)+SUM(C178:C181)+SUM(C185:C186)+SUM(C190:C191)+SUM(C247:C247)+SUM(C249:C249)</f>
        <v>832.63999999998487</v>
      </c>
      <c r="D250" s="116">
        <f>+SUM(D6:D9)+SUM(D15:D21)+SUM(D25:D31)+SUM(D35:D44)+SUM(D48:D51)+SUM(D55:D60)+SUM(D62:D63)+SUM(D66:D70)+SUM(D74:D83)+SUM(D87:D87)+SUM(D92:D93)+SUM(D96:D100)+SUM(D104:D107)+SUM(D111:D115)+SUM(D119:D121)+SUM(D125:D126)+SUM(D130:D133)+SUM(D142:D148)+SUM(D152:D155)+SUM(D159:D162)+SUM(D166:D168)+SUM(D172:D174)+SUM(D178:D181)+SUM(D185:D186)+SUM(D190:D191)+SUM(D247:D247)+SUM(D249:D249)</f>
        <v>-6048295.1899999995</v>
      </c>
      <c r="E250" s="116">
        <f>D250-C250</f>
        <v>-6049127.8299999991</v>
      </c>
    </row>
    <row r="251" spans="1:5" x14ac:dyDescent="0.25">
      <c r="A251" s="66"/>
      <c r="B251" s="66"/>
      <c r="C251" s="66"/>
      <c r="D251" s="66"/>
      <c r="E251" s="66"/>
    </row>
    <row r="252" spans="1:5" ht="14.4" x14ac:dyDescent="0.3">
      <c r="A252" s="66"/>
      <c r="B252" s="161" t="s">
        <v>168</v>
      </c>
      <c r="C252" s="66"/>
      <c r="D252" s="66"/>
      <c r="E252" s="66"/>
    </row>
    <row r="253" spans="1:5" x14ac:dyDescent="0.25">
      <c r="A253" s="67">
        <v>6320</v>
      </c>
      <c r="B253" s="66" t="s">
        <v>358</v>
      </c>
      <c r="C253" s="68">
        <v>0</v>
      </c>
      <c r="D253" s="68">
        <v>-127784</v>
      </c>
      <c r="E253" s="68">
        <f t="shared" ref="E253:E259" si="14">D253-C253</f>
        <v>-127784</v>
      </c>
    </row>
    <row r="254" spans="1:5" x14ac:dyDescent="0.25">
      <c r="A254" s="67">
        <v>6340</v>
      </c>
      <c r="B254" s="66" t="s">
        <v>215</v>
      </c>
      <c r="C254" s="68">
        <v>0</v>
      </c>
      <c r="D254" s="68">
        <v>-8700</v>
      </c>
      <c r="E254" s="68">
        <f t="shared" si="14"/>
        <v>-8700</v>
      </c>
    </row>
    <row r="255" spans="1:5" x14ac:dyDescent="0.25">
      <c r="A255" s="67">
        <v>6345</v>
      </c>
      <c r="B255" s="66" t="s">
        <v>216</v>
      </c>
      <c r="C255" s="68">
        <v>0</v>
      </c>
      <c r="D255" s="68">
        <v>-10968</v>
      </c>
      <c r="E255" s="68">
        <f t="shared" si="14"/>
        <v>-10968</v>
      </c>
    </row>
    <row r="256" spans="1:5" x14ac:dyDescent="0.25">
      <c r="A256" s="67">
        <v>6350</v>
      </c>
      <c r="B256" s="66" t="s">
        <v>213</v>
      </c>
      <c r="C256" s="68">
        <v>0</v>
      </c>
      <c r="D256" s="68">
        <v>-18819.830000000002</v>
      </c>
      <c r="E256" s="68">
        <f t="shared" si="14"/>
        <v>-18819.830000000002</v>
      </c>
    </row>
    <row r="257" spans="1:5" x14ac:dyDescent="0.25">
      <c r="A257" s="67">
        <v>6360</v>
      </c>
      <c r="B257" s="66" t="s">
        <v>214</v>
      </c>
      <c r="C257" s="68">
        <v>0</v>
      </c>
      <c r="D257" s="68">
        <v>-19418.830000000002</v>
      </c>
      <c r="E257" s="68">
        <f t="shared" si="14"/>
        <v>-19418.830000000002</v>
      </c>
    </row>
    <row r="258" spans="1:5" x14ac:dyDescent="0.25">
      <c r="A258" s="67">
        <v>6380</v>
      </c>
      <c r="B258" s="66" t="s">
        <v>169</v>
      </c>
      <c r="C258" s="68">
        <v>0</v>
      </c>
      <c r="D258" s="68">
        <v>0</v>
      </c>
      <c r="E258" s="68">
        <f t="shared" si="14"/>
        <v>0</v>
      </c>
    </row>
    <row r="259" spans="1:5" ht="14.4" x14ac:dyDescent="0.3">
      <c r="A259" s="66"/>
      <c r="B259" s="161" t="s">
        <v>170</v>
      </c>
      <c r="C259" s="116">
        <f>+SUM(C253:C258)</f>
        <v>0</v>
      </c>
      <c r="D259" s="116">
        <f>+SUM(D253:D258)</f>
        <v>-185690.66000000003</v>
      </c>
      <c r="E259" s="116">
        <f t="shared" si="14"/>
        <v>-185690.66000000003</v>
      </c>
    </row>
    <row r="260" spans="1:5" x14ac:dyDescent="0.25">
      <c r="A260" s="66"/>
      <c r="B260" s="66"/>
      <c r="C260" s="66"/>
      <c r="D260" s="66"/>
      <c r="E260" s="66"/>
    </row>
    <row r="261" spans="1:5" ht="14.4" x14ac:dyDescent="0.3">
      <c r="A261" s="66"/>
      <c r="B261" s="161" t="s">
        <v>198</v>
      </c>
      <c r="C261" s="66"/>
      <c r="D261" s="66"/>
      <c r="E261" s="66"/>
    </row>
    <row r="262" spans="1:5" x14ac:dyDescent="0.25">
      <c r="A262" s="66"/>
      <c r="B262" s="66"/>
      <c r="C262" s="66"/>
      <c r="D262" s="66"/>
      <c r="E262" s="66"/>
    </row>
    <row r="263" spans="1:5" ht="14.4" x14ac:dyDescent="0.3">
      <c r="A263" s="66"/>
      <c r="B263" s="161" t="s">
        <v>171</v>
      </c>
      <c r="C263" s="66"/>
      <c r="D263" s="66"/>
      <c r="E263" s="66"/>
    </row>
    <row r="264" spans="1:5" x14ac:dyDescent="0.25">
      <c r="A264" s="67">
        <v>6620</v>
      </c>
      <c r="B264" s="66" t="s">
        <v>172</v>
      </c>
      <c r="C264" s="68">
        <v>0</v>
      </c>
      <c r="D264" s="68">
        <v>0</v>
      </c>
      <c r="E264" s="68">
        <f t="shared" ref="E264:E269" si="15">D264-C264</f>
        <v>0</v>
      </c>
    </row>
    <row r="265" spans="1:5" x14ac:dyDescent="0.25">
      <c r="A265" s="67">
        <v>6630</v>
      </c>
      <c r="B265" s="66" t="s">
        <v>241</v>
      </c>
      <c r="C265" s="68">
        <v>0</v>
      </c>
      <c r="D265" s="68">
        <v>0</v>
      </c>
      <c r="E265" s="68">
        <f t="shared" si="15"/>
        <v>0</v>
      </c>
    </row>
    <row r="266" spans="1:5" x14ac:dyDescent="0.25">
      <c r="A266" s="67">
        <v>6640</v>
      </c>
      <c r="B266" s="66" t="s">
        <v>242</v>
      </c>
      <c r="C266" s="68">
        <v>0</v>
      </c>
      <c r="D266" s="68">
        <v>0</v>
      </c>
      <c r="E266" s="68">
        <f t="shared" si="15"/>
        <v>0</v>
      </c>
    </row>
    <row r="267" spans="1:5" x14ac:dyDescent="0.25">
      <c r="A267" s="67">
        <v>6650</v>
      </c>
      <c r="B267" s="66" t="s">
        <v>243</v>
      </c>
      <c r="C267" s="68">
        <v>0</v>
      </c>
      <c r="D267" s="68">
        <v>0</v>
      </c>
      <c r="E267" s="68">
        <f t="shared" si="15"/>
        <v>0</v>
      </c>
    </row>
    <row r="268" spans="1:5" x14ac:dyDescent="0.25">
      <c r="A268" s="67">
        <v>6660</v>
      </c>
      <c r="B268" s="66" t="s">
        <v>261</v>
      </c>
      <c r="C268" s="68">
        <v>0</v>
      </c>
      <c r="D268" s="68">
        <v>-1000000</v>
      </c>
      <c r="E268" s="68">
        <f t="shared" si="15"/>
        <v>-1000000</v>
      </c>
    </row>
    <row r="269" spans="1:5" ht="14.4" x14ac:dyDescent="0.3">
      <c r="A269" s="66"/>
      <c r="B269" s="161" t="s">
        <v>173</v>
      </c>
      <c r="C269" s="116">
        <f>+SUM(C264:C268)</f>
        <v>0</v>
      </c>
      <c r="D269" s="116">
        <f>+SUM(D264:D268)</f>
        <v>-1000000</v>
      </c>
      <c r="E269" s="116">
        <f t="shared" si="15"/>
        <v>-1000000</v>
      </c>
    </row>
    <row r="270" spans="1:5" x14ac:dyDescent="0.25">
      <c r="A270" s="66"/>
      <c r="B270" s="66"/>
      <c r="C270" s="66"/>
      <c r="D270" s="66"/>
      <c r="E270" s="66"/>
    </row>
    <row r="271" spans="1:5" ht="14.4" x14ac:dyDescent="0.3">
      <c r="A271" s="66"/>
      <c r="B271" s="161" t="s">
        <v>174</v>
      </c>
      <c r="C271" s="66"/>
      <c r="D271" s="66"/>
      <c r="E271" s="66"/>
    </row>
    <row r="272" spans="1:5" x14ac:dyDescent="0.25">
      <c r="A272" s="67">
        <v>6905</v>
      </c>
      <c r="B272" s="66" t="s">
        <v>174</v>
      </c>
      <c r="C272" s="68">
        <v>0</v>
      </c>
      <c r="D272" s="68">
        <v>240</v>
      </c>
      <c r="E272" s="68">
        <f t="shared" ref="E272:E279" si="16">D272-C272</f>
        <v>240</v>
      </c>
    </row>
    <row r="273" spans="1:5" x14ac:dyDescent="0.25">
      <c r="A273" s="67">
        <v>6910</v>
      </c>
      <c r="B273" s="66" t="s">
        <v>175</v>
      </c>
      <c r="C273" s="68">
        <v>0</v>
      </c>
      <c r="D273" s="68">
        <v>-8730</v>
      </c>
      <c r="E273" s="68">
        <f t="shared" si="16"/>
        <v>-8730</v>
      </c>
    </row>
    <row r="274" spans="1:5" x14ac:dyDescent="0.25">
      <c r="A274" s="67">
        <v>6920</v>
      </c>
      <c r="B274" s="66" t="s">
        <v>176</v>
      </c>
      <c r="C274" s="68">
        <v>0</v>
      </c>
      <c r="D274" s="68">
        <v>-3322418.02</v>
      </c>
      <c r="E274" s="68">
        <f t="shared" si="16"/>
        <v>-3322418.02</v>
      </c>
    </row>
    <row r="275" spans="1:5" ht="14.4" x14ac:dyDescent="0.3">
      <c r="A275" s="66"/>
      <c r="B275" s="161" t="s">
        <v>177</v>
      </c>
      <c r="C275" s="116">
        <f>+SUM(C272:C274)</f>
        <v>0</v>
      </c>
      <c r="D275" s="116">
        <f>+SUM(D272:D274)</f>
        <v>-3330908.02</v>
      </c>
      <c r="E275" s="116">
        <f t="shared" si="16"/>
        <v>-3330908.02</v>
      </c>
    </row>
    <row r="276" spans="1:5" ht="14.4" x14ac:dyDescent="0.3">
      <c r="A276" s="66"/>
      <c r="B276" s="161" t="s">
        <v>178</v>
      </c>
      <c r="C276" s="116">
        <f>+SUM(C264:C268)+SUM(C272:C274)</f>
        <v>0</v>
      </c>
      <c r="D276" s="116">
        <f>+SUM(D264:D268)+SUM(D272:D274)</f>
        <v>-4330908.0199999996</v>
      </c>
      <c r="E276" s="116">
        <f t="shared" si="16"/>
        <v>-4330908.0199999996</v>
      </c>
    </row>
    <row r="277" spans="1:5" ht="14.4" x14ac:dyDescent="0.3">
      <c r="A277" s="66"/>
      <c r="B277" s="161" t="s">
        <v>179</v>
      </c>
      <c r="C277" s="116">
        <f>+SUM(C6:C9)+SUM(C15:C21)+SUM(C25:C31)+SUM(C35:C44)+SUM(C48:C51)+SUM(C55:C60)+SUM(C62:C63)+SUM(C66:C70)+SUM(C74:C83)+SUM(C87:C87)+SUM(C92:C93)+SUM(C96:C100)+SUM(C104:C107)+SUM(C111:C115)+SUM(C119:C121)+SUM(C125:C126)+SUM(C130:C133)+SUM(C142:C148)+SUM(C152:C155)+SUM(C159:C162)+SUM(C166:C168)+SUM(C172:C174)+SUM(C178:C181)+SUM(C185:C186)+SUM(C190:C191)+SUM(C247:C247)+SUM(C249:C249)+SUM(C253:C258)+SUM(C264:C268)+SUM(C272:C274)</f>
        <v>832.63999999998487</v>
      </c>
      <c r="D277" s="116">
        <f>+SUM(D6:D9)+SUM(D15:D21)+SUM(D25:D31)+SUM(D35:D44)+SUM(D48:D51)+SUM(D55:D60)+SUM(D62:D63)+SUM(D66:D70)+SUM(D74:D83)+SUM(D87:D87)+SUM(D92:D93)+SUM(D96:D100)+SUM(D104:D107)+SUM(D111:D115)+SUM(D119:D121)+SUM(D125:D126)+SUM(D130:D133)+SUM(D142:D148)+SUM(D152:D155)+SUM(D159:D162)+SUM(D166:D168)+SUM(D172:D174)+SUM(D178:D181)+SUM(D185:D186)+SUM(D190:D191)+SUM(D247:D247)+SUM(D249:D249)+SUM(D253:D258)+SUM(D264:D268)+SUM(D272:D274)</f>
        <v>-10564893.869999999</v>
      </c>
      <c r="E277" s="116">
        <f t="shared" si="16"/>
        <v>-10565726.51</v>
      </c>
    </row>
    <row r="278" spans="1:5" x14ac:dyDescent="0.25">
      <c r="A278" s="67">
        <v>9900</v>
      </c>
      <c r="B278" s="66" t="s">
        <v>181</v>
      </c>
      <c r="C278" s="68">
        <v>0</v>
      </c>
      <c r="D278" s="68">
        <v>0</v>
      </c>
      <c r="E278" s="68">
        <f t="shared" si="16"/>
        <v>0</v>
      </c>
    </row>
    <row r="279" spans="1:5" ht="14.4" x14ac:dyDescent="0.3">
      <c r="A279" s="66"/>
      <c r="B279" s="161" t="s">
        <v>182</v>
      </c>
      <c r="C279" s="116">
        <f>+SUM(C6:C9)+SUM(C15:C21)+SUM(C25:C31)+SUM(C35:C44)+SUM(C48:C51)+SUM(C55:C60)+SUM(C62:C63)+SUM(C66:C70)+SUM(C74:C83)+SUM(C87:C87)+SUM(C92:C93)+SUM(C96:C100)+SUM(C104:C107)+SUM(C111:C115)+SUM(C119:C121)+SUM(C125:C126)+SUM(C130:C133)+SUM(C142:C148)+SUM(C152:C155)+SUM(C159:C162)+SUM(C166:C168)+SUM(C172:C174)+SUM(C178:C181)+SUM(C185:C186)+SUM(C190:C191)+SUM(C201:C205)+SUM(C209:C211)+SUM(C213:C213)+SUM(C219:C219)+SUM(C223:C232)+SUM(C236:C239)+SUM(C247:C247)+SUM(C249:C249)+SUM(C253:C258)+SUM(C264:C268)+SUM(C272:C274)+SUM(C278:C278)</f>
        <v>832.63999999998487</v>
      </c>
      <c r="D279" s="116">
        <f>+SUM(D6:D9)+SUM(D15:D21)+SUM(D25:D31)+SUM(D35:D44)+SUM(D48:D51)+SUM(D55:D60)+SUM(D62:D63)+SUM(D66:D70)+SUM(D74:D83)+SUM(D87:D87)+SUM(D92:D93)+SUM(D96:D100)+SUM(D104:D107)+SUM(D111:D115)+SUM(D119:D121)+SUM(D125:D126)+SUM(D130:D133)+SUM(D142:D148)+SUM(D152:D155)+SUM(D159:D162)+SUM(D166:D168)+SUM(D172:D174)+SUM(D178:D181)+SUM(D185:D186)+SUM(D190:D191)+SUM(D201:D205)+SUM(D209:D211)+SUM(D213:D213)+SUM(D219:D219)+SUM(D223:D232)+SUM(D236:D239)+SUM(D247:D247)+SUM(D249:D249)+SUM(D253:D258)+SUM(D264:D268)+SUM(D272:D274)+SUM(D278:D278)</f>
        <v>1.3969838619232178E-9</v>
      </c>
      <c r="E279" s="116">
        <f t="shared" si="16"/>
        <v>-832.63999999858788</v>
      </c>
    </row>
  </sheetData>
  <mergeCells count="1">
    <mergeCell ref="A1:Y1"/>
  </mergeCells>
  <phoneticPr fontId="11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workbookViewId="0">
      <selection activeCell="E39" sqref="E39"/>
    </sheetView>
  </sheetViews>
  <sheetFormatPr defaultRowHeight="13.2" x14ac:dyDescent="0.25"/>
  <cols>
    <col min="1" max="1" width="8.109375" bestFit="1" customWidth="1"/>
    <col min="2" max="2" width="11.109375" style="62" customWidth="1"/>
    <col min="3" max="3" width="13.33203125" style="62" customWidth="1"/>
    <col min="4" max="4" width="34.88671875" bestFit="1" customWidth="1"/>
    <col min="5" max="5" width="14.5546875" style="63" customWidth="1"/>
    <col min="6" max="6" width="10.5546875" bestFit="1" customWidth="1"/>
    <col min="7" max="7" width="11.88671875" bestFit="1" customWidth="1"/>
    <col min="8" max="8" width="15.88671875" style="63" customWidth="1"/>
  </cols>
  <sheetData>
    <row r="1" spans="1:8" ht="14.4" x14ac:dyDescent="0.3">
      <c r="A1" s="59" t="s">
        <v>18</v>
      </c>
      <c r="B1" s="60" t="s">
        <v>19</v>
      </c>
      <c r="C1" s="60" t="s">
        <v>20</v>
      </c>
      <c r="D1" s="59" t="s">
        <v>21</v>
      </c>
      <c r="E1" s="61" t="s">
        <v>22</v>
      </c>
      <c r="F1" s="59" t="s">
        <v>23</v>
      </c>
      <c r="G1" s="59" t="s">
        <v>24</v>
      </c>
      <c r="H1" s="61" t="s">
        <v>25</v>
      </c>
    </row>
    <row r="2" spans="1:8" ht="15" x14ac:dyDescent="0.35">
      <c r="A2" s="90">
        <f>Saldobalance!A6</f>
        <v>1010</v>
      </c>
      <c r="B2" s="62">
        <f>'Regnskab og budget'!$F$2</f>
        <v>41275</v>
      </c>
      <c r="C2" s="62">
        <f>'Regnskab og budget'!$H$2</f>
        <v>41639</v>
      </c>
      <c r="D2" s="20" t="str">
        <f>'Regnskab og budget'!A7</f>
        <v>GEF ejerne</v>
      </c>
      <c r="E2" s="63">
        <f>'Regnskab og budget'!K7</f>
        <v>-777600</v>
      </c>
      <c r="F2">
        <v>1</v>
      </c>
      <c r="G2" t="str">
        <f>IF(E2&lt;0,"Kredit","")</f>
        <v>Kredit</v>
      </c>
      <c r="H2" s="71">
        <v>0</v>
      </c>
    </row>
    <row r="3" spans="1:8" ht="15" x14ac:dyDescent="0.35">
      <c r="A3" s="90">
        <f>Saldobalance!A7</f>
        <v>1020</v>
      </c>
      <c r="B3" s="62">
        <f>'Regnskab og budget'!$F$2</f>
        <v>41275</v>
      </c>
      <c r="C3" s="62">
        <f>'Regnskab og budget'!$H$2</f>
        <v>41639</v>
      </c>
      <c r="D3" s="20" t="str">
        <f>'Regnskab og budget'!A8</f>
        <v>GEF lejerne</v>
      </c>
      <c r="E3" s="63">
        <f>'Regnskab og budget'!K8</f>
        <v>-46656</v>
      </c>
      <c r="F3">
        <v>1</v>
      </c>
      <c r="G3" t="str">
        <f t="shared" ref="G3:G71" si="0">IF(E3&lt;0,"Kredit","")</f>
        <v>Kredit</v>
      </c>
      <c r="H3" s="71">
        <v>0</v>
      </c>
    </row>
    <row r="4" spans="1:8" ht="15" x14ac:dyDescent="0.35">
      <c r="A4" s="90">
        <f>Saldobalance!A8</f>
        <v>1030</v>
      </c>
      <c r="B4" s="62">
        <f>'Regnskab og budget'!$F$2</f>
        <v>41275</v>
      </c>
      <c r="C4" s="62">
        <f>'Regnskab og budget'!$H$2</f>
        <v>41639</v>
      </c>
      <c r="D4" s="20" t="str">
        <f>'Regnskab og budget'!A9</f>
        <v>Rykkergebyr</v>
      </c>
      <c r="E4" s="63">
        <f>'Regnskab og budget'!K9</f>
        <v>-2000</v>
      </c>
      <c r="F4">
        <v>1</v>
      </c>
      <c r="G4" t="str">
        <f t="shared" si="0"/>
        <v>Kredit</v>
      </c>
      <c r="H4" s="71">
        <v>0</v>
      </c>
    </row>
    <row r="5" spans="1:8" ht="15" x14ac:dyDescent="0.35">
      <c r="A5" s="90">
        <f>Saldobalance!A9</f>
        <v>1040</v>
      </c>
      <c r="B5" s="62">
        <f>'Regnskab og budget'!$F$2</f>
        <v>41275</v>
      </c>
      <c r="C5" s="62">
        <f>'Regnskab og budget'!$H$2</f>
        <v>41639</v>
      </c>
      <c r="D5" s="20" t="str">
        <f>'Regnskab og budget'!A10</f>
        <v>Andre indtægter</v>
      </c>
      <c r="E5" s="63">
        <f>'Regnskab og budget'!K10</f>
        <v>0</v>
      </c>
      <c r="F5">
        <v>1</v>
      </c>
      <c r="G5" t="str">
        <f>IF(E5&lt;=0,"Kredit","")</f>
        <v>Kredit</v>
      </c>
      <c r="H5" s="71">
        <v>0</v>
      </c>
    </row>
    <row r="6" spans="1:8" ht="15" x14ac:dyDescent="0.35">
      <c r="A6" s="90">
        <f>Saldobalance!A15</f>
        <v>1311</v>
      </c>
      <c r="B6" s="62">
        <f>'Regnskab og budget'!$F$2</f>
        <v>41275</v>
      </c>
      <c r="C6" s="62">
        <f>'Regnskab og budget'!$H$2</f>
        <v>41639</v>
      </c>
      <c r="D6" s="20" t="str">
        <f>'Regnskab og budget'!A19</f>
        <v>Rep maskine og anlæg</v>
      </c>
      <c r="E6" s="63">
        <f>'Regnskab og budget'!J19</f>
        <v>25000</v>
      </c>
      <c r="F6">
        <v>1</v>
      </c>
      <c r="G6" t="str">
        <f t="shared" si="0"/>
        <v/>
      </c>
      <c r="H6" s="71">
        <v>0</v>
      </c>
    </row>
    <row r="7" spans="1:8" ht="15" x14ac:dyDescent="0.35">
      <c r="A7" s="90">
        <f>Saldobalance!A16</f>
        <v>1312</v>
      </c>
      <c r="B7" s="62">
        <f>'Regnskab og budget'!$F$2</f>
        <v>41275</v>
      </c>
      <c r="C7" s="62">
        <f>'Regnskab og budget'!$H$2</f>
        <v>41639</v>
      </c>
      <c r="D7" s="20" t="str">
        <f>'Regnskab og budget'!A20</f>
        <v>Rep og service Gasfyr</v>
      </c>
      <c r="E7" s="63">
        <f>'Regnskab og budget'!J20</f>
        <v>20000</v>
      </c>
      <c r="F7">
        <v>1</v>
      </c>
      <c r="G7" t="str">
        <f t="shared" si="0"/>
        <v/>
      </c>
      <c r="H7" s="71">
        <v>0</v>
      </c>
    </row>
    <row r="8" spans="1:8" ht="15" x14ac:dyDescent="0.35">
      <c r="A8" s="90">
        <f>Saldobalance!A17</f>
        <v>1313</v>
      </c>
      <c r="B8" s="62">
        <f>'Regnskab og budget'!$F$2</f>
        <v>41275</v>
      </c>
      <c r="C8" s="62">
        <f>'Regnskab og budget'!$H$2</f>
        <v>41639</v>
      </c>
      <c r="D8" s="20" t="str">
        <f>'Regnskab og budget'!A21</f>
        <v>Rep. vaskeriet</v>
      </c>
      <c r="E8" s="63">
        <f>'Regnskab og budget'!J21</f>
        <v>25000</v>
      </c>
      <c r="F8">
        <v>1</v>
      </c>
      <c r="G8" t="str">
        <f t="shared" si="0"/>
        <v/>
      </c>
      <c r="H8" s="71">
        <v>0</v>
      </c>
    </row>
    <row r="9" spans="1:8" ht="15" x14ac:dyDescent="0.35">
      <c r="A9" s="90">
        <f>Saldobalance!A18</f>
        <v>1314</v>
      </c>
      <c r="B9" s="62">
        <f>'Regnskab og budget'!$F$2</f>
        <v>41275</v>
      </c>
      <c r="C9" s="62">
        <f>'Regnskab og budget'!$H$2</f>
        <v>41639</v>
      </c>
      <c r="D9" s="20" t="str">
        <f>'Regnskab og budget'!A22</f>
        <v>Indv. vedl. FÆ-hus</v>
      </c>
      <c r="E9" s="63">
        <f>'Regnskab og budget'!J22</f>
        <v>12000</v>
      </c>
      <c r="F9">
        <v>1</v>
      </c>
      <c r="G9" t="str">
        <f t="shared" si="0"/>
        <v/>
      </c>
      <c r="H9" s="71">
        <v>0</v>
      </c>
    </row>
    <row r="10" spans="1:8" ht="15" x14ac:dyDescent="0.35">
      <c r="A10" s="90">
        <f>Saldobalance!A19</f>
        <v>1315</v>
      </c>
      <c r="B10" s="62">
        <f>'Regnskab og budget'!$F$2</f>
        <v>41275</v>
      </c>
      <c r="C10" s="62">
        <f>'Regnskab og budget'!$H$2</f>
        <v>41639</v>
      </c>
      <c r="D10" s="20" t="str">
        <f>'Regnskab og budget'!A23</f>
        <v>Udv. vedl. FÆ-hus</v>
      </c>
      <c r="E10" s="63">
        <f>'Regnskab og budget'!J23</f>
        <v>6000</v>
      </c>
      <c r="F10">
        <v>1</v>
      </c>
      <c r="G10" t="str">
        <f t="shared" si="0"/>
        <v/>
      </c>
      <c r="H10" s="71">
        <v>0</v>
      </c>
    </row>
    <row r="11" spans="1:8" ht="15" x14ac:dyDescent="0.35">
      <c r="A11" s="90">
        <f>Saldobalance!A20</f>
        <v>1316</v>
      </c>
      <c r="B11" s="62">
        <f>'Regnskab og budget'!$F$2</f>
        <v>41275</v>
      </c>
      <c r="C11" s="62">
        <f>'Regnskab og budget'!$H$2</f>
        <v>41639</v>
      </c>
      <c r="D11" s="20" t="str">
        <f>'Regnskab og budget'!A24</f>
        <v>Vedl. fællesarealer</v>
      </c>
      <c r="E11" s="63">
        <f>'Regnskab og budget'!J24</f>
        <v>30000</v>
      </c>
      <c r="F11">
        <v>1</v>
      </c>
      <c r="G11" t="str">
        <f t="shared" si="0"/>
        <v/>
      </c>
      <c r="H11" s="71">
        <v>0</v>
      </c>
    </row>
    <row r="12" spans="1:8" ht="15" x14ac:dyDescent="0.35">
      <c r="A12" s="90">
        <f>Saldobalance!A21</f>
        <v>1317</v>
      </c>
      <c r="B12" s="62">
        <f>'Regnskab og budget'!$F$2</f>
        <v>41275</v>
      </c>
      <c r="C12" s="62">
        <f>'Regnskab og budget'!$H$2</f>
        <v>41639</v>
      </c>
      <c r="D12" s="20" t="str">
        <f>'Regnskab og budget'!A25</f>
        <v>Snerydning</v>
      </c>
      <c r="E12" s="63">
        <f>'Regnskab og budget'!J25</f>
        <v>21000</v>
      </c>
      <c r="F12">
        <v>1</v>
      </c>
      <c r="G12" t="str">
        <f t="shared" si="0"/>
        <v/>
      </c>
      <c r="H12" s="71">
        <v>0</v>
      </c>
    </row>
    <row r="13" spans="1:8" ht="15" x14ac:dyDescent="0.35">
      <c r="A13" s="90">
        <f>Saldobalance!A25</f>
        <v>1321</v>
      </c>
      <c r="B13" s="62">
        <f>'Regnskab og budget'!$F$2</f>
        <v>41275</v>
      </c>
      <c r="C13" s="62">
        <f>'Regnskab og budget'!$H$2</f>
        <v>41639</v>
      </c>
      <c r="D13" s="20" t="str">
        <f>'Regnskab og budget'!A28</f>
        <v>Inventar</v>
      </c>
      <c r="E13" s="63">
        <f>'Regnskab og budget'!J28</f>
        <v>2000</v>
      </c>
      <c r="F13">
        <v>1</v>
      </c>
      <c r="G13" t="str">
        <f t="shared" si="0"/>
        <v/>
      </c>
      <c r="H13" s="71">
        <v>0</v>
      </c>
    </row>
    <row r="14" spans="1:8" ht="15" x14ac:dyDescent="0.35">
      <c r="A14" s="90">
        <f>Saldobalance!A26</f>
        <v>1322</v>
      </c>
      <c r="B14" s="62">
        <f>'Regnskab og budget'!$F$2</f>
        <v>41275</v>
      </c>
      <c r="C14" s="62">
        <f>'Regnskab og budget'!$H$2</f>
        <v>41639</v>
      </c>
      <c r="D14" s="20" t="str">
        <f>'Regnskab og budget'!A29</f>
        <v>Køkkenudstyr</v>
      </c>
      <c r="E14" s="63">
        <f>'Regnskab og budget'!J29</f>
        <v>9000</v>
      </c>
      <c r="F14">
        <v>1</v>
      </c>
      <c r="G14" t="str">
        <f t="shared" si="0"/>
        <v/>
      </c>
      <c r="H14" s="71">
        <v>0</v>
      </c>
    </row>
    <row r="15" spans="1:8" ht="15" x14ac:dyDescent="0.35">
      <c r="A15" s="90">
        <f>Saldobalance!A27</f>
        <v>1323</v>
      </c>
      <c r="B15" s="62">
        <f>'Regnskab og budget'!$F$2</f>
        <v>41275</v>
      </c>
      <c r="C15" s="62">
        <f>'Regnskab og budget'!$H$2</f>
        <v>41639</v>
      </c>
      <c r="D15" s="20" t="str">
        <f>'Regnskab og budget'!A30</f>
        <v>EL-artik, pærer mv</v>
      </c>
      <c r="E15" s="63">
        <f>'Regnskab og budget'!J30</f>
        <v>3000</v>
      </c>
      <c r="F15">
        <v>1</v>
      </c>
      <c r="G15" t="str">
        <f t="shared" si="0"/>
        <v/>
      </c>
      <c r="H15" s="71">
        <v>0</v>
      </c>
    </row>
    <row r="16" spans="1:8" ht="15" x14ac:dyDescent="0.35">
      <c r="A16" s="90">
        <f>Saldobalance!A28</f>
        <v>1324</v>
      </c>
      <c r="B16" s="62">
        <f>'Regnskab og budget'!$F$2</f>
        <v>41275</v>
      </c>
      <c r="C16" s="62">
        <f>'Regnskab og budget'!$H$2</f>
        <v>41639</v>
      </c>
      <c r="D16" s="20" t="str">
        <f>'Regnskab og budget'!A31</f>
        <v>Rengøringsmidler/-artikler</v>
      </c>
      <c r="E16" s="63">
        <f>'Regnskab og budget'!J31</f>
        <v>25000</v>
      </c>
      <c r="F16">
        <v>1</v>
      </c>
      <c r="G16" t="str">
        <f t="shared" si="0"/>
        <v/>
      </c>
      <c r="H16" s="71">
        <v>0</v>
      </c>
    </row>
    <row r="17" spans="1:8" ht="15" x14ac:dyDescent="0.35">
      <c r="A17" s="90">
        <f>Saldobalance!A29</f>
        <v>1325</v>
      </c>
      <c r="B17" s="62">
        <f>'Regnskab og budget'!$F$2</f>
        <v>41275</v>
      </c>
      <c r="C17" s="62">
        <f>'Regnskab og budget'!$H$2</f>
        <v>41639</v>
      </c>
      <c r="D17" s="20" t="str">
        <f>'Regnskab og budget'!A32</f>
        <v>Lys, blomster</v>
      </c>
      <c r="E17" s="63">
        <f>'Regnskab og budget'!J32</f>
        <v>1200</v>
      </c>
      <c r="F17">
        <v>1</v>
      </c>
      <c r="G17" t="str">
        <f t="shared" si="0"/>
        <v/>
      </c>
      <c r="H17" s="71">
        <v>0</v>
      </c>
    </row>
    <row r="18" spans="1:8" ht="15" x14ac:dyDescent="0.35">
      <c r="A18" s="90">
        <f>Saldobalance!A30</f>
        <v>1326</v>
      </c>
      <c r="B18" s="62">
        <f>'Regnskab og budget'!$F$2</f>
        <v>41275</v>
      </c>
      <c r="C18" s="62">
        <f>'Regnskab og budget'!$H$2</f>
        <v>41639</v>
      </c>
      <c r="D18" s="20" t="str">
        <f>'Regnskab og budget'!A33</f>
        <v>Krydderier</v>
      </c>
      <c r="E18" s="63">
        <f>'Regnskab og budget'!J33</f>
        <v>2000</v>
      </c>
      <c r="F18">
        <v>1</v>
      </c>
      <c r="G18" t="str">
        <f t="shared" si="0"/>
        <v/>
      </c>
      <c r="H18" s="71">
        <v>0</v>
      </c>
    </row>
    <row r="19" spans="1:8" ht="15" x14ac:dyDescent="0.35">
      <c r="A19" s="90">
        <f>Saldobalance!A31</f>
        <v>1327</v>
      </c>
      <c r="B19" s="62">
        <f>'Regnskab og budget'!$F$2</f>
        <v>41275</v>
      </c>
      <c r="C19" s="62">
        <f>'Regnskab og budget'!$H$2</f>
        <v>41639</v>
      </c>
      <c r="D19" s="20" t="str">
        <f>'Regnskab og budget'!A34</f>
        <v>Diverse Fælleshus</v>
      </c>
      <c r="E19" s="63">
        <f>'Regnskab og budget'!J34</f>
        <v>2000</v>
      </c>
      <c r="F19">
        <v>1</v>
      </c>
      <c r="G19" t="str">
        <f t="shared" si="0"/>
        <v/>
      </c>
      <c r="H19" s="71">
        <v>0</v>
      </c>
    </row>
    <row r="20" spans="1:8" ht="15" x14ac:dyDescent="0.35">
      <c r="A20" s="90">
        <f>Saldobalance!A35</f>
        <v>1331</v>
      </c>
      <c r="B20" s="62">
        <f>'Regnskab og budget'!$F$2</f>
        <v>41275</v>
      </c>
      <c r="C20" s="62">
        <f>'Regnskab og budget'!$H$2</f>
        <v>41639</v>
      </c>
      <c r="D20" s="20" t="str">
        <f>'Regnskab og budget'!A37</f>
        <v>Gaver</v>
      </c>
      <c r="E20" s="63">
        <f>'Regnskab og budget'!J37</f>
        <v>10000</v>
      </c>
      <c r="F20">
        <v>1</v>
      </c>
      <c r="G20" t="str">
        <f t="shared" si="0"/>
        <v/>
      </c>
      <c r="H20" s="71">
        <v>0</v>
      </c>
    </row>
    <row r="21" spans="1:8" ht="15" x14ac:dyDescent="0.35">
      <c r="A21" s="90">
        <f>Saldobalance!A36</f>
        <v>1332</v>
      </c>
      <c r="B21" s="62">
        <f>'Regnskab og budget'!$F$2</f>
        <v>41275</v>
      </c>
      <c r="C21" s="62">
        <f>'Regnskab og budget'!$H$2</f>
        <v>41639</v>
      </c>
      <c r="D21" s="20" t="str">
        <f>'Regnskab og budget'!A38</f>
        <v>Fester/kultur</v>
      </c>
      <c r="E21" s="63">
        <f>'Regnskab og budget'!J38</f>
        <v>9000</v>
      </c>
      <c r="F21">
        <v>1</v>
      </c>
      <c r="G21" t="str">
        <f t="shared" si="0"/>
        <v/>
      </c>
      <c r="H21" s="71">
        <v>0</v>
      </c>
    </row>
    <row r="22" spans="1:8" ht="15" x14ac:dyDescent="0.35">
      <c r="A22" s="90">
        <f>Saldobalance!A37</f>
        <v>1333</v>
      </c>
      <c r="B22" s="62">
        <f>'Regnskab og budget'!$F$2</f>
        <v>41275</v>
      </c>
      <c r="C22" s="62">
        <f>'Regnskab og budget'!$H$2</f>
        <v>41639</v>
      </c>
      <c r="D22" s="20" t="str">
        <f>'Regnskab og budget'!A39</f>
        <v>Fortæring arbejdsweekends</v>
      </c>
      <c r="E22" s="63">
        <f>'Regnskab og budget'!J39</f>
        <v>10000</v>
      </c>
      <c r="F22">
        <v>1</v>
      </c>
      <c r="G22" t="str">
        <f t="shared" si="0"/>
        <v/>
      </c>
      <c r="H22" s="71">
        <v>0</v>
      </c>
    </row>
    <row r="23" spans="1:8" ht="15" x14ac:dyDescent="0.35">
      <c r="A23" s="90">
        <f>Saldobalance!A38</f>
        <v>1334</v>
      </c>
      <c r="B23" s="62">
        <f>'Regnskab og budget'!$F$2</f>
        <v>41275</v>
      </c>
      <c r="C23" s="62">
        <f>'Regnskab og budget'!$H$2</f>
        <v>41639</v>
      </c>
      <c r="D23" s="20" t="str">
        <f>'Regnskab og budget'!A40</f>
        <v>Fortæring generalforsamling</v>
      </c>
      <c r="E23" s="63">
        <f>'Regnskab og budget'!J40</f>
        <v>2000</v>
      </c>
      <c r="F23">
        <v>1</v>
      </c>
      <c r="G23" t="str">
        <f t="shared" si="0"/>
        <v/>
      </c>
      <c r="H23" s="71">
        <v>0</v>
      </c>
    </row>
    <row r="24" spans="1:8" ht="15" x14ac:dyDescent="0.35">
      <c r="A24" s="90">
        <f>Saldobalance!A39</f>
        <v>1335</v>
      </c>
      <c r="B24" s="62">
        <f>'Regnskab og budget'!$F$2</f>
        <v>41275</v>
      </c>
      <c r="C24" s="62">
        <f>'Regnskab og budget'!$H$2</f>
        <v>41639</v>
      </c>
      <c r="D24" s="20" t="str">
        <f>'Regnskab og budget'!A41</f>
        <v>Adventsarrangementer</v>
      </c>
      <c r="E24" s="63">
        <f>'Regnskab og budget'!J41</f>
        <v>4000</v>
      </c>
      <c r="F24">
        <v>1</v>
      </c>
      <c r="G24" t="str">
        <f t="shared" si="0"/>
        <v/>
      </c>
      <c r="H24" s="71">
        <v>0</v>
      </c>
    </row>
    <row r="25" spans="1:8" ht="15" x14ac:dyDescent="0.35">
      <c r="A25" s="90">
        <f>Saldobalance!A40</f>
        <v>1336</v>
      </c>
      <c r="B25" s="62">
        <f>'Regnskab og budget'!$F$2</f>
        <v>41275</v>
      </c>
      <c r="C25" s="62">
        <f>'Regnskab og budget'!$H$2</f>
        <v>41639</v>
      </c>
      <c r="D25" s="20" t="str">
        <f>'Regnskab og budget'!A42</f>
        <v>Fastelavn</v>
      </c>
      <c r="E25" s="63">
        <f>'Regnskab og budget'!J42</f>
        <v>2000</v>
      </c>
      <c r="F25">
        <v>1</v>
      </c>
      <c r="G25" t="str">
        <f t="shared" si="0"/>
        <v/>
      </c>
      <c r="H25" s="71">
        <v>0</v>
      </c>
    </row>
    <row r="26" spans="1:8" ht="15" x14ac:dyDescent="0.35">
      <c r="A26" s="90">
        <f>Saldobalance!A41</f>
        <v>1337</v>
      </c>
      <c r="B26" s="62">
        <f>'Regnskab og budget'!$F$2</f>
        <v>41275</v>
      </c>
      <c r="C26" s="62">
        <f>'Regnskab og budget'!$H$2</f>
        <v>41639</v>
      </c>
      <c r="D26" s="20" t="str">
        <f>'Regnskab og budget'!A43</f>
        <v>Cafemøder</v>
      </c>
      <c r="E26" s="63">
        <f>'Regnskab og budget'!J43</f>
        <v>1000</v>
      </c>
      <c r="F26">
        <v>1</v>
      </c>
      <c r="G26" t="str">
        <f t="shared" si="0"/>
        <v/>
      </c>
      <c r="H26" s="71">
        <v>0</v>
      </c>
    </row>
    <row r="27" spans="1:8" ht="15" x14ac:dyDescent="0.35">
      <c r="A27" s="90">
        <f>Saldobalance!A42</f>
        <v>1338</v>
      </c>
      <c r="B27" s="62">
        <f>'Regnskab og budget'!$F$2</f>
        <v>41275</v>
      </c>
      <c r="C27" s="62">
        <f>'Regnskab og budget'!$H$2</f>
        <v>41639</v>
      </c>
      <c r="D27" s="20" t="str">
        <f>'Regnskab og budget'!A44</f>
        <v>Bakkeweekend</v>
      </c>
      <c r="E27" s="63">
        <f>'Regnskab og budget'!J44</f>
        <v>25000</v>
      </c>
      <c r="F27">
        <v>1</v>
      </c>
      <c r="G27" t="str">
        <f t="shared" si="0"/>
        <v/>
      </c>
      <c r="H27" s="71">
        <v>0</v>
      </c>
    </row>
    <row r="28" spans="1:8" ht="15" x14ac:dyDescent="0.35">
      <c r="A28" s="90">
        <f>Saldobalance!A43</f>
        <v>1339</v>
      </c>
      <c r="B28" s="62">
        <f>'Regnskab og budget'!$F$2</f>
        <v>41275</v>
      </c>
      <c r="C28" s="62">
        <f>'Regnskab og budget'!$H$2</f>
        <v>41639</v>
      </c>
      <c r="D28" s="20" t="str">
        <f>'Regnskab og budget'!A45</f>
        <v>Skt. Hans</v>
      </c>
      <c r="E28" s="63">
        <f>'Regnskab og budget'!J45</f>
        <v>1000</v>
      </c>
      <c r="F28">
        <v>1</v>
      </c>
      <c r="G28" t="str">
        <f t="shared" si="0"/>
        <v/>
      </c>
      <c r="H28" s="71">
        <v>0</v>
      </c>
    </row>
    <row r="29" spans="1:8" ht="15" x14ac:dyDescent="0.35">
      <c r="A29" s="90">
        <f>Saldobalance!A48</f>
        <v>1351</v>
      </c>
      <c r="B29" s="62">
        <f>'Regnskab og budget'!$F$2</f>
        <v>41275</v>
      </c>
      <c r="C29" s="62">
        <f>'Regnskab og budget'!$H$2</f>
        <v>41639</v>
      </c>
      <c r="D29" s="20" t="str">
        <f>'Regnskab og budget'!A48</f>
        <v>Telefon / bredbånd</v>
      </c>
      <c r="E29" s="63">
        <f>'Regnskab og budget'!J48</f>
        <v>4000</v>
      </c>
      <c r="F29">
        <v>1</v>
      </c>
      <c r="G29" t="str">
        <f t="shared" si="0"/>
        <v/>
      </c>
      <c r="H29" s="71">
        <v>0</v>
      </c>
    </row>
    <row r="30" spans="1:8" ht="15" x14ac:dyDescent="0.35">
      <c r="A30" s="90">
        <f>Saldobalance!A49</f>
        <v>1352</v>
      </c>
      <c r="B30" s="62">
        <f>'Regnskab og budget'!$F$2</f>
        <v>41275</v>
      </c>
      <c r="C30" s="62">
        <f>'Regnskab og budget'!$H$2</f>
        <v>41639</v>
      </c>
      <c r="D30" s="20" t="str">
        <f>'Regnskab og budget'!A49</f>
        <v>TV + licens</v>
      </c>
      <c r="E30" s="63">
        <f>'Regnskab og budget'!J49</f>
        <v>5000</v>
      </c>
      <c r="F30">
        <v>1</v>
      </c>
      <c r="G30" t="str">
        <f t="shared" si="0"/>
        <v/>
      </c>
      <c r="H30" s="71">
        <v>0</v>
      </c>
    </row>
    <row r="31" spans="1:8" ht="15" x14ac:dyDescent="0.35">
      <c r="A31" s="90">
        <f>Saldobalance!A50</f>
        <v>1353</v>
      </c>
      <c r="B31" s="62">
        <f>'Regnskab og budget'!$F$2</f>
        <v>41275</v>
      </c>
      <c r="C31" s="62">
        <f>'Regnskab og budget'!$H$2</f>
        <v>41639</v>
      </c>
      <c r="D31" s="20" t="str">
        <f>'Regnskab og budget'!A50</f>
        <v>Hjemmeside/e-mail</v>
      </c>
      <c r="E31" s="63">
        <f>'Regnskab og budget'!J50</f>
        <v>2000</v>
      </c>
      <c r="F31">
        <v>1</v>
      </c>
      <c r="G31" t="str">
        <f t="shared" si="0"/>
        <v/>
      </c>
      <c r="H31" s="71">
        <v>0</v>
      </c>
    </row>
    <row r="32" spans="1:8" ht="15" x14ac:dyDescent="0.35">
      <c r="A32" s="90">
        <f>Saldobalance!A51</f>
        <v>1355</v>
      </c>
      <c r="B32" s="62">
        <f>'Regnskab og budget'!$F$2</f>
        <v>41275</v>
      </c>
      <c r="C32" s="62">
        <f>'Regnskab og budget'!$H$2</f>
        <v>41639</v>
      </c>
      <c r="D32" s="20" t="str">
        <f>'Regnskab og budget'!A51</f>
        <v>Aviser og tidsskrifter</v>
      </c>
      <c r="E32" s="63">
        <f>'Regnskab og budget'!J51</f>
        <v>1000</v>
      </c>
      <c r="F32">
        <v>1</v>
      </c>
      <c r="G32" t="str">
        <f t="shared" si="0"/>
        <v/>
      </c>
      <c r="H32" s="71">
        <v>0</v>
      </c>
    </row>
    <row r="33" spans="1:8" ht="15" x14ac:dyDescent="0.35">
      <c r="A33" s="90">
        <f>Saldobalance!A55</f>
        <v>1361</v>
      </c>
      <c r="B33" s="62">
        <f>'Regnskab og budget'!$F$2</f>
        <v>41275</v>
      </c>
      <c r="C33" s="62">
        <f>'Regnskab og budget'!$H$2</f>
        <v>41639</v>
      </c>
      <c r="D33" s="20" t="str">
        <f>'Regnskab og budget'!A54</f>
        <v>Asfalt</v>
      </c>
      <c r="E33" s="63">
        <f>'Regnskab og budget'!J54</f>
        <v>16000</v>
      </c>
      <c r="F33">
        <v>1</v>
      </c>
      <c r="G33" t="str">
        <f t="shared" ref="G33:G38" si="1">IF(E33&lt;0,"Kredit","")</f>
        <v/>
      </c>
      <c r="H33" s="71">
        <v>0</v>
      </c>
    </row>
    <row r="34" spans="1:8" ht="15" x14ac:dyDescent="0.35">
      <c r="A34" s="90">
        <f>Saldobalance!A56</f>
        <v>1362</v>
      </c>
      <c r="B34" s="62">
        <f>'Regnskab og budget'!$F$2</f>
        <v>41275</v>
      </c>
      <c r="C34" s="62">
        <f>'Regnskab og budget'!$H$2</f>
        <v>41639</v>
      </c>
      <c r="D34" s="20" t="str">
        <f>'Regnskab og budget'!A62</f>
        <v>Salg af Gården</v>
      </c>
      <c r="E34" s="63">
        <f>'Regnskab og budget'!J62</f>
        <v>5000</v>
      </c>
      <c r="F34">
        <v>1</v>
      </c>
      <c r="G34" t="str">
        <f t="shared" si="1"/>
        <v/>
      </c>
      <c r="H34" s="71">
        <v>0</v>
      </c>
    </row>
    <row r="35" spans="1:8" ht="15" x14ac:dyDescent="0.35">
      <c r="A35" s="90">
        <f>Saldobalance!A57</f>
        <v>1363</v>
      </c>
      <c r="B35" s="62">
        <f>'Regnskab og budget'!$F$2</f>
        <v>41275</v>
      </c>
      <c r="C35" s="62">
        <f>'Regnskab og budget'!$H$2</f>
        <v>41639</v>
      </c>
      <c r="D35" s="20" t="str">
        <f>'Regnskab og budget'!A58</f>
        <v>Kolbøtten</v>
      </c>
      <c r="E35" s="63">
        <f>'Regnskab og budget'!J58</f>
        <v>70000</v>
      </c>
      <c r="F35">
        <v>1</v>
      </c>
      <c r="G35" t="str">
        <f t="shared" si="1"/>
        <v/>
      </c>
      <c r="H35" s="71">
        <v>0</v>
      </c>
    </row>
    <row r="36" spans="1:8" ht="15" x14ac:dyDescent="0.35">
      <c r="A36" s="90">
        <f>Saldobalance!A58</f>
        <v>1364</v>
      </c>
      <c r="B36" s="62">
        <f>'Regnskab og budget'!$F$2</f>
        <v>41275</v>
      </c>
      <c r="C36" s="62">
        <f>'Regnskab og budget'!$H$2</f>
        <v>41639</v>
      </c>
      <c r="D36" s="20" t="str">
        <f>'Regnskab og budget'!A57</f>
        <v>Fælleshustorvet</v>
      </c>
      <c r="E36" s="63">
        <f>'Regnskab og budget'!J57</f>
        <v>0</v>
      </c>
      <c r="F36">
        <v>1</v>
      </c>
      <c r="G36" t="str">
        <f t="shared" si="1"/>
        <v/>
      </c>
      <c r="H36" s="71">
        <v>0</v>
      </c>
    </row>
    <row r="37" spans="1:8" ht="15" x14ac:dyDescent="0.35">
      <c r="A37" s="90">
        <f>Saldobalance!A59</f>
        <v>1365</v>
      </c>
      <c r="B37" s="62">
        <f>'Regnskab og budget'!$F$2</f>
        <v>41275</v>
      </c>
      <c r="C37" s="62">
        <f>'Regnskab og budget'!$H$2</f>
        <v>41639</v>
      </c>
      <c r="D37" s="20" t="str">
        <f>'Regnskab og budget'!A63</f>
        <v>Svællemuren</v>
      </c>
      <c r="E37" s="63">
        <f>'Regnskab og budget'!J63</f>
        <v>0</v>
      </c>
      <c r="F37">
        <v>1</v>
      </c>
      <c r="G37" t="str">
        <f t="shared" si="1"/>
        <v/>
      </c>
      <c r="H37" s="71">
        <v>0</v>
      </c>
    </row>
    <row r="38" spans="1:8" ht="15" x14ac:dyDescent="0.35">
      <c r="A38" s="90">
        <f>Saldobalance!A60</f>
        <v>1368</v>
      </c>
      <c r="B38" s="62">
        <f>'Regnskab og budget'!$F$2</f>
        <v>41275</v>
      </c>
      <c r="C38" s="62">
        <f>'Regnskab og budget'!$H$2</f>
        <v>41639</v>
      </c>
      <c r="D38" s="20" t="str">
        <f>'Regnskab og budget'!A66</f>
        <v>Uspecificerede projekter</v>
      </c>
      <c r="E38" s="63">
        <f>'Regnskab og budget'!J66</f>
        <v>-93000</v>
      </c>
      <c r="F38">
        <v>1</v>
      </c>
      <c r="G38" t="str">
        <f t="shared" si="1"/>
        <v>Kredit</v>
      </c>
      <c r="H38" s="71">
        <v>0</v>
      </c>
    </row>
    <row r="39" spans="1:8" ht="15" x14ac:dyDescent="0.35">
      <c r="A39" s="90">
        <f>Saldobalance!A62</f>
        <v>1370</v>
      </c>
      <c r="B39" s="62">
        <f>'Regnskab og budget'!$F$2</f>
        <v>41275</v>
      </c>
      <c r="C39" s="62">
        <f>'Regnskab og budget'!$H$2</f>
        <v>41639</v>
      </c>
      <c r="D39" s="20" t="str">
        <f>'Regnskab og budget'!A68</f>
        <v>Nyanskaffelse</v>
      </c>
      <c r="E39" s="63">
        <f>'Regnskab og budget'!K68</f>
        <v>15000</v>
      </c>
      <c r="F39">
        <v>1</v>
      </c>
      <c r="G39" t="str">
        <f t="shared" si="0"/>
        <v/>
      </c>
      <c r="H39" s="71">
        <v>0</v>
      </c>
    </row>
    <row r="40" spans="1:8" ht="15" x14ac:dyDescent="0.35">
      <c r="A40" s="90">
        <f>Saldobalance!A63</f>
        <v>1375</v>
      </c>
      <c r="B40" s="62">
        <f>'Regnskab og budget'!$F$2</f>
        <v>41275</v>
      </c>
      <c r="C40" s="62">
        <f>'Regnskab og budget'!$H$2</f>
        <v>41639</v>
      </c>
      <c r="D40" s="20" t="str">
        <f>'Regnskab og budget'!A70</f>
        <v>Markedsføring</v>
      </c>
      <c r="E40" s="63">
        <f>'Regnskab og budget'!K70</f>
        <v>3000</v>
      </c>
      <c r="F40">
        <v>1</v>
      </c>
      <c r="G40" t="str">
        <f t="shared" si="0"/>
        <v/>
      </c>
      <c r="H40" s="71">
        <v>0</v>
      </c>
    </row>
    <row r="41" spans="1:8" ht="15" x14ac:dyDescent="0.35">
      <c r="A41" s="90">
        <f>Saldobalance!A66</f>
        <v>1382</v>
      </c>
      <c r="B41" s="62">
        <f>'Regnskab og budget'!$F$2</f>
        <v>41275</v>
      </c>
      <c r="C41" s="62">
        <f>'Regnskab og budget'!$H$2</f>
        <v>41639</v>
      </c>
      <c r="D41" s="20" t="str">
        <f>'Regnskab og budget'!A73</f>
        <v>Salg af fåreprodukter (Brutto)</v>
      </c>
      <c r="E41" s="63">
        <f>'Regnskab og budget'!K73</f>
        <v>-22000</v>
      </c>
      <c r="F41">
        <v>1</v>
      </c>
      <c r="G41" t="str">
        <f t="shared" si="0"/>
        <v>Kredit</v>
      </c>
      <c r="H41" s="71">
        <v>0</v>
      </c>
    </row>
    <row r="42" spans="1:8" ht="15" x14ac:dyDescent="0.35">
      <c r="A42" s="90">
        <f>Saldobalance!A67</f>
        <v>1383</v>
      </c>
      <c r="B42" s="62">
        <f>'Regnskab og budget'!$F$2</f>
        <v>41275</v>
      </c>
      <c r="C42" s="62">
        <f>'Regnskab og budget'!$H$2</f>
        <v>41639</v>
      </c>
      <c r="D42" s="20" t="str">
        <f>'Regnskab og budget'!A74</f>
        <v>Rabat på fåreprodukter</v>
      </c>
      <c r="E42" s="63">
        <f>'Regnskab og budget'!J74</f>
        <v>2000</v>
      </c>
      <c r="F42">
        <v>1</v>
      </c>
      <c r="G42" t="str">
        <f>IF(E42&lt;0,"Kredit","")</f>
        <v/>
      </c>
      <c r="H42" s="71">
        <v>0</v>
      </c>
    </row>
    <row r="43" spans="1:8" ht="15" x14ac:dyDescent="0.35">
      <c r="A43" s="90">
        <f>Saldobalance!A68</f>
        <v>1384</v>
      </c>
      <c r="B43" s="62">
        <f>'Regnskab og budget'!$F$2</f>
        <v>41275</v>
      </c>
      <c r="C43" s="62">
        <f>'Regnskab og budget'!$H$2</f>
        <v>41639</v>
      </c>
      <c r="D43" s="20" t="str">
        <f>'Regnskab og budget'!A75</f>
        <v>Løbende udgifter/får</v>
      </c>
      <c r="E43" s="63">
        <f>'Regnskab og budget'!J75</f>
        <v>26000</v>
      </c>
      <c r="F43">
        <v>1</v>
      </c>
      <c r="G43" t="str">
        <f t="shared" si="0"/>
        <v/>
      </c>
      <c r="H43" s="71">
        <v>0</v>
      </c>
    </row>
    <row r="44" spans="1:8" ht="15" x14ac:dyDescent="0.35">
      <c r="A44" s="90">
        <f>Saldobalance!A69</f>
        <v>1392</v>
      </c>
      <c r="B44" s="62">
        <f>'Regnskab og budget'!$F$2</f>
        <v>41275</v>
      </c>
      <c r="C44" s="62">
        <f>'Regnskab og budget'!$H$2</f>
        <v>41639</v>
      </c>
      <c r="D44" s="20" t="str">
        <f>'Regnskab og budget'!A76</f>
        <v>Engangsudgifter/får</v>
      </c>
      <c r="E44" s="63">
        <f>'Regnskab og budget'!J76</f>
        <v>6000</v>
      </c>
      <c r="F44">
        <v>1</v>
      </c>
      <c r="G44" t="str">
        <f t="shared" si="0"/>
        <v/>
      </c>
      <c r="H44" s="71">
        <v>0</v>
      </c>
    </row>
    <row r="45" spans="1:8" ht="15" x14ac:dyDescent="0.35">
      <c r="A45" s="90">
        <f>Saldobalance!A70</f>
        <v>1397</v>
      </c>
      <c r="B45" s="62">
        <f>'Regnskab og budget'!$F$2</f>
        <v>41275</v>
      </c>
      <c r="C45" s="62">
        <f>'Regnskab og budget'!$H$2</f>
        <v>41639</v>
      </c>
      <c r="D45" s="20" t="str">
        <f>'Regnskab og budget'!A77</f>
        <v>Årets udvikling/får</v>
      </c>
      <c r="E45" s="63">
        <f>'Regnskab og budget'!J77</f>
        <v>2000</v>
      </c>
      <c r="F45">
        <v>1</v>
      </c>
      <c r="G45" t="str">
        <f t="shared" si="0"/>
        <v/>
      </c>
      <c r="H45" s="71">
        <v>0</v>
      </c>
    </row>
    <row r="46" spans="1:8" ht="15" x14ac:dyDescent="0.35">
      <c r="A46" s="90">
        <f>Saldobalance!A74</f>
        <v>1410</v>
      </c>
      <c r="B46" s="62">
        <f>'Regnskab og budget'!$F$2</f>
        <v>41275</v>
      </c>
      <c r="C46" s="62">
        <f>'Regnskab og budget'!$H$2</f>
        <v>41639</v>
      </c>
      <c r="D46" s="20" t="str">
        <f>'Regnskab og budget'!A80</f>
        <v>Huslejeopkrævet</v>
      </c>
      <c r="E46" s="63">
        <f>'Regnskab og budget'!K80</f>
        <v>-135360</v>
      </c>
      <c r="F46">
        <v>1</v>
      </c>
      <c r="G46" t="str">
        <f t="shared" si="0"/>
        <v>Kredit</v>
      </c>
      <c r="H46" s="71">
        <v>0</v>
      </c>
    </row>
    <row r="47" spans="1:8" ht="15" x14ac:dyDescent="0.35">
      <c r="A47" s="90">
        <f>Saldobalance!A75</f>
        <v>1420</v>
      </c>
      <c r="B47" s="62">
        <f>'Regnskab og budget'!$F$2</f>
        <v>41275</v>
      </c>
      <c r="C47" s="62">
        <f>'Regnskab og budget'!$H$2</f>
        <v>41639</v>
      </c>
      <c r="D47" s="20" t="str">
        <f>Saldobalance!B75</f>
        <v>Ikke længere i brug</v>
      </c>
      <c r="E47" s="63">
        <v>0</v>
      </c>
      <c r="F47">
        <v>1</v>
      </c>
      <c r="G47" t="str">
        <f t="shared" si="0"/>
        <v/>
      </c>
      <c r="H47" s="71">
        <v>0</v>
      </c>
    </row>
    <row r="48" spans="1:8" ht="15" x14ac:dyDescent="0.35">
      <c r="A48" s="90">
        <f>Saldobalance!A76</f>
        <v>1425</v>
      </c>
      <c r="B48" s="62">
        <f>'Regnskab og budget'!$F$2</f>
        <v>41275</v>
      </c>
      <c r="C48" s="62">
        <f>'Regnskab og budget'!$H$2</f>
        <v>41639</v>
      </c>
      <c r="D48" s="20" t="str">
        <f>'Regnskab og budget'!A81</f>
        <v>EL opkrævet</v>
      </c>
      <c r="E48" s="63">
        <f>'Regnskab og budget'!K81</f>
        <v>-10000</v>
      </c>
      <c r="F48">
        <v>1</v>
      </c>
      <c r="G48" t="str">
        <f t="shared" si="0"/>
        <v>Kredit</v>
      </c>
      <c r="H48" s="71">
        <v>0</v>
      </c>
    </row>
    <row r="49" spans="1:8" ht="15" x14ac:dyDescent="0.35">
      <c r="A49" s="90">
        <f>Saldobalance!A77</f>
        <v>1427</v>
      </c>
      <c r="B49" s="62">
        <f>'Regnskab og budget'!$F$2</f>
        <v>41275</v>
      </c>
      <c r="C49" s="62">
        <f>'Regnskab og budget'!$H$2</f>
        <v>41639</v>
      </c>
      <c r="D49" s="20" t="str">
        <f>'Regnskab og budget'!A82</f>
        <v>DONG - EL</v>
      </c>
      <c r="E49" s="63">
        <f>'Regnskab og budget'!J82</f>
        <v>10000</v>
      </c>
      <c r="F49">
        <v>1</v>
      </c>
      <c r="G49" t="str">
        <f t="shared" si="0"/>
        <v/>
      </c>
      <c r="H49" s="71">
        <v>0</v>
      </c>
    </row>
    <row r="50" spans="1:8" ht="15" x14ac:dyDescent="0.35">
      <c r="A50" s="90">
        <f>Saldobalance!A78</f>
        <v>1430</v>
      </c>
      <c r="B50" s="62">
        <f>'Regnskab og budget'!$F$2</f>
        <v>41275</v>
      </c>
      <c r="C50" s="62">
        <f>'Regnskab og budget'!$H$2</f>
        <v>41639</v>
      </c>
      <c r="D50" s="20" t="str">
        <f>'Regnskab og budget'!A83</f>
        <v>GEF</v>
      </c>
      <c r="E50" s="63">
        <f>'Regnskab og budget'!J83</f>
        <v>46656</v>
      </c>
      <c r="F50">
        <v>1</v>
      </c>
      <c r="G50" t="str">
        <f t="shared" si="0"/>
        <v/>
      </c>
      <c r="H50" s="71">
        <v>0</v>
      </c>
    </row>
    <row r="51" spans="1:8" ht="15" x14ac:dyDescent="0.35">
      <c r="A51" s="90">
        <f>Saldobalance!A79</f>
        <v>1440</v>
      </c>
      <c r="B51" s="62">
        <f>'Regnskab og budget'!$F$2</f>
        <v>41275</v>
      </c>
      <c r="C51" s="62">
        <f>'Regnskab og budget'!$H$2</f>
        <v>41639</v>
      </c>
      <c r="D51" s="20" t="str">
        <f>'Regnskab og budget'!A84</f>
        <v>Renovation</v>
      </c>
      <c r="E51" s="63">
        <f>'Regnskab og budget'!J84</f>
        <v>3340</v>
      </c>
      <c r="F51">
        <v>1</v>
      </c>
      <c r="G51" t="str">
        <f t="shared" si="0"/>
        <v/>
      </c>
      <c r="H51" s="71">
        <v>0</v>
      </c>
    </row>
    <row r="52" spans="1:8" ht="15" x14ac:dyDescent="0.35">
      <c r="A52" s="90">
        <f>Saldobalance!A80</f>
        <v>1450</v>
      </c>
      <c r="B52" s="62">
        <f>'Regnskab og budget'!$F$2</f>
        <v>41275</v>
      </c>
      <c r="C52" s="62">
        <f>'Regnskab og budget'!$H$2</f>
        <v>41639</v>
      </c>
      <c r="D52" s="20" t="str">
        <f>'Regnskab og budget'!A85</f>
        <v>Ejendomsskat</v>
      </c>
      <c r="E52" s="63">
        <f>'Regnskab og budget'!J85</f>
        <v>37195.339999999997</v>
      </c>
      <c r="F52">
        <v>1</v>
      </c>
      <c r="G52" t="str">
        <f t="shared" si="0"/>
        <v/>
      </c>
      <c r="H52" s="71">
        <v>0</v>
      </c>
    </row>
    <row r="53" spans="1:8" ht="15" x14ac:dyDescent="0.35">
      <c r="A53" s="90">
        <f>Saldobalance!A81</f>
        <v>1460</v>
      </c>
      <c r="B53" s="62">
        <f>'Regnskab og budget'!$F$2</f>
        <v>41275</v>
      </c>
      <c r="C53" s="62">
        <f>'Regnskab og budget'!$H$2</f>
        <v>41639</v>
      </c>
      <c r="D53" s="20" t="str">
        <f>'Regnskab og budget'!A86</f>
        <v>Forsikringer - 4.318.305.792</v>
      </c>
      <c r="E53" s="63">
        <f>'Regnskab og budget'!J86</f>
        <v>9000</v>
      </c>
      <c r="F53">
        <v>1</v>
      </c>
      <c r="G53" t="str">
        <f t="shared" si="0"/>
        <v/>
      </c>
      <c r="H53" s="71">
        <v>0</v>
      </c>
    </row>
    <row r="54" spans="1:8" ht="15" x14ac:dyDescent="0.35">
      <c r="A54" s="90">
        <f>Saldobalance!A82</f>
        <v>1470</v>
      </c>
      <c r="B54" s="62">
        <f>'Regnskab og budget'!$F$2</f>
        <v>41275</v>
      </c>
      <c r="C54" s="62">
        <f>'Regnskab og budget'!$H$2</f>
        <v>41639</v>
      </c>
      <c r="D54" s="20" t="str">
        <f>'Regnskab og budget'!A87</f>
        <v>Udv. Vedligehold Gården</v>
      </c>
      <c r="E54" s="63">
        <f>'Regnskab og budget'!J87</f>
        <v>4000</v>
      </c>
      <c r="F54">
        <v>1</v>
      </c>
      <c r="G54" t="str">
        <f t="shared" si="0"/>
        <v/>
      </c>
      <c r="H54" s="71">
        <v>0</v>
      </c>
    </row>
    <row r="55" spans="1:8" ht="15" x14ac:dyDescent="0.35">
      <c r="A55" s="90">
        <f>Saldobalance!A83</f>
        <v>1480</v>
      </c>
      <c r="B55" s="62">
        <f>'Regnskab og budget'!$F$2</f>
        <v>41275</v>
      </c>
      <c r="C55" s="62">
        <f>'Regnskab og budget'!$H$2</f>
        <v>41639</v>
      </c>
      <c r="D55" s="20" t="str">
        <f>'Regnskab og budget'!A88</f>
        <v>Indv. Vedligehold Gården</v>
      </c>
      <c r="E55" s="63">
        <f>'Regnskab og budget'!J88</f>
        <v>15000</v>
      </c>
      <c r="F55">
        <v>1</v>
      </c>
      <c r="G55" t="str">
        <f t="shared" si="0"/>
        <v/>
      </c>
      <c r="H55" s="71">
        <v>0</v>
      </c>
    </row>
    <row r="56" spans="1:8" ht="15" x14ac:dyDescent="0.35">
      <c r="A56" s="90">
        <f>Saldobalance!A87</f>
        <v>1997</v>
      </c>
      <c r="B56" s="62">
        <f>'Regnskab og budget'!$F$2</f>
        <v>41275</v>
      </c>
      <c r="C56" s="62">
        <f>'Regnskab og budget'!$H$2</f>
        <v>41639</v>
      </c>
      <c r="D56" s="20" t="str">
        <f>'Regnskab og budget'!A90</f>
        <v>Diverse variable udgifter</v>
      </c>
      <c r="E56" s="63">
        <f>'Regnskab og budget'!K90</f>
        <v>0</v>
      </c>
      <c r="F56">
        <v>1</v>
      </c>
      <c r="G56" t="str">
        <f t="shared" si="0"/>
        <v/>
      </c>
      <c r="H56" s="71">
        <v>0</v>
      </c>
    </row>
    <row r="57" spans="1:8" ht="15" x14ac:dyDescent="0.35">
      <c r="A57" s="90">
        <f>Saldobalance!A92</f>
        <v>2210</v>
      </c>
      <c r="B57" s="62">
        <f>'Regnskab og budget'!$F$2</f>
        <v>41275</v>
      </c>
      <c r="C57" s="62">
        <f>'Regnskab og budget'!$H$2</f>
        <v>41639</v>
      </c>
      <c r="D57" s="20" t="str">
        <f>'Regnskab og budget'!A98</f>
        <v>Ejendomsskat</v>
      </c>
      <c r="E57" s="63">
        <f>'Regnskab og budget'!K98</f>
        <v>41966.28</v>
      </c>
      <c r="F57">
        <v>1</v>
      </c>
      <c r="G57" t="str">
        <f t="shared" si="0"/>
        <v/>
      </c>
      <c r="H57" s="71">
        <v>0</v>
      </c>
    </row>
    <row r="58" spans="1:8" ht="15" x14ac:dyDescent="0.35">
      <c r="A58" s="90">
        <f>Saldobalance!A93</f>
        <v>2220</v>
      </c>
      <c r="B58" s="62">
        <f>'Regnskab og budget'!$F$2</f>
        <v>41275</v>
      </c>
      <c r="C58" s="62">
        <f>'Regnskab og budget'!$H$2</f>
        <v>41639</v>
      </c>
      <c r="D58" s="20" t="str">
        <f>'Regnskab og budget'!A100</f>
        <v>Forsikringer</v>
      </c>
      <c r="E58" s="63">
        <f>'Regnskab og budget'!K99</f>
        <v>0</v>
      </c>
      <c r="F58">
        <v>1</v>
      </c>
      <c r="G58" t="str">
        <f t="shared" si="0"/>
        <v/>
      </c>
      <c r="H58" s="71">
        <v>0</v>
      </c>
    </row>
    <row r="59" spans="1:8" ht="15" x14ac:dyDescent="0.35">
      <c r="A59" s="90">
        <f>Saldobalance!A96</f>
        <v>2231</v>
      </c>
      <c r="B59" s="62">
        <f>'Regnskab og budget'!$F$2</f>
        <v>41275</v>
      </c>
      <c r="C59" s="62">
        <f>'Regnskab og budget'!$H$2</f>
        <v>41639</v>
      </c>
      <c r="D59" s="20" t="str">
        <f>'Regnskab og budget'!A103</f>
        <v>7AV - Stuehuset + Østlængen</v>
      </c>
      <c r="E59" s="63">
        <f>'Regnskab og budget'!J103</f>
        <v>29275.35191211661</v>
      </c>
      <c r="F59">
        <v>1</v>
      </c>
      <c r="G59" t="str">
        <f t="shared" si="0"/>
        <v/>
      </c>
      <c r="H59" s="71">
        <v>0</v>
      </c>
    </row>
    <row r="60" spans="1:8" ht="15" x14ac:dyDescent="0.35">
      <c r="A60" s="90">
        <f>Saldobalance!A97</f>
        <v>2232</v>
      </c>
      <c r="B60" s="62">
        <f>'Regnskab og budget'!$F$2</f>
        <v>41275</v>
      </c>
      <c r="C60" s="62">
        <f>'Regnskab og budget'!$H$2</f>
        <v>41639</v>
      </c>
      <c r="D60" s="20" t="str">
        <f>'Regnskab og budget'!A104</f>
        <v>Komfur &amp; Ovn, ????</v>
      </c>
      <c r="E60" s="63">
        <f>'Regnskab og budget'!J104</f>
        <v>10039.433106815231</v>
      </c>
      <c r="F60">
        <v>1</v>
      </c>
      <c r="G60" t="str">
        <f t="shared" si="0"/>
        <v/>
      </c>
      <c r="H60" s="71">
        <v>0</v>
      </c>
    </row>
    <row r="61" spans="1:8" ht="15" x14ac:dyDescent="0.35">
      <c r="A61" s="90">
        <f>Saldobalance!A98</f>
        <v>2233</v>
      </c>
      <c r="B61" s="62">
        <f>'Regnskab og budget'!$F$2</f>
        <v>41275</v>
      </c>
      <c r="C61" s="62">
        <f>'Regnskab og budget'!$H$2</f>
        <v>41639</v>
      </c>
      <c r="D61" s="20" t="str">
        <f>'Regnskab og budget'!A105</f>
        <v>Fyrudskiftning, 1999</v>
      </c>
      <c r="E61" s="63">
        <f>'Regnskab og budget'!J105</f>
        <v>172513.29309346108</v>
      </c>
      <c r="F61">
        <v>1</v>
      </c>
      <c r="G61" t="str">
        <f t="shared" si="0"/>
        <v/>
      </c>
      <c r="H61" s="71">
        <v>0</v>
      </c>
    </row>
    <row r="62" spans="1:8" ht="15" x14ac:dyDescent="0.35">
      <c r="A62" s="90">
        <f>Saldobalance!A99</f>
        <v>2234</v>
      </c>
      <c r="B62" s="62">
        <f>'Regnskab og budget'!$F$2</f>
        <v>41275</v>
      </c>
      <c r="C62" s="62">
        <f>'Regnskab og budget'!$H$2</f>
        <v>41639</v>
      </c>
      <c r="D62" s="20" t="str">
        <f>'Regnskab og budget'!A106</f>
        <v>Tørretumbler, 1999</v>
      </c>
      <c r="E62" s="63">
        <f>'Regnskab og budget'!J106</f>
        <v>6442.7189259131173</v>
      </c>
      <c r="F62">
        <v>1</v>
      </c>
      <c r="G62" t="str">
        <f t="shared" si="0"/>
        <v/>
      </c>
      <c r="H62" s="71">
        <v>0</v>
      </c>
    </row>
    <row r="63" spans="1:8" ht="15" x14ac:dyDescent="0.35">
      <c r="A63" s="90">
        <f>Saldobalance!A100</f>
        <v>2235</v>
      </c>
      <c r="B63" s="62">
        <f>'Regnskab og budget'!$F$2</f>
        <v>41275</v>
      </c>
      <c r="C63" s="62">
        <f>'Regnskab og budget'!$H$2</f>
        <v>41639</v>
      </c>
      <c r="D63" s="20" t="str">
        <f>'Regnskab og budget'!A107</f>
        <v>Vaskemaskiner, 2011</v>
      </c>
      <c r="E63" s="63">
        <f>'Regnskab og budget'!J107</f>
        <v>7855</v>
      </c>
      <c r="F63">
        <v>1</v>
      </c>
      <c r="G63" t="str">
        <f t="shared" si="0"/>
        <v/>
      </c>
      <c r="H63" s="71">
        <v>0</v>
      </c>
    </row>
    <row r="64" spans="1:8" ht="15" x14ac:dyDescent="0.35">
      <c r="A64" s="90">
        <f>Saldobalance!A104</f>
        <v>2251</v>
      </c>
      <c r="B64" s="62">
        <f>'Regnskab og budget'!$F$2</f>
        <v>41275</v>
      </c>
      <c r="C64" s="62">
        <f>'Regnskab og budget'!$H$2</f>
        <v>41639</v>
      </c>
      <c r="D64" s="20" t="str">
        <f>'Regnskab og budget'!A110</f>
        <v>Nordea</v>
      </c>
      <c r="E64" s="63">
        <f>'Regnskab og budget'!J110</f>
        <v>2000</v>
      </c>
      <c r="F64">
        <v>1</v>
      </c>
      <c r="G64" t="str">
        <f t="shared" si="0"/>
        <v/>
      </c>
      <c r="H64" s="71">
        <v>0</v>
      </c>
    </row>
    <row r="65" spans="1:8" ht="15" x14ac:dyDescent="0.35">
      <c r="A65" s="90">
        <f>Saldobalance!A107</f>
        <v>2258</v>
      </c>
      <c r="B65" s="62">
        <f>'Regnskab og budget'!$F$2</f>
        <v>41275</v>
      </c>
      <c r="C65" s="62">
        <f>'Regnskab og budget'!$H$2</f>
        <v>41639</v>
      </c>
      <c r="D65" s="20" t="str">
        <f>'Regnskab og budget'!A113</f>
        <v>Andre renter og gebyrer</v>
      </c>
      <c r="E65" s="63">
        <f>'Regnskab og budget'!J113</f>
        <v>0</v>
      </c>
      <c r="F65">
        <v>1</v>
      </c>
      <c r="G65" t="str">
        <f t="shared" si="0"/>
        <v/>
      </c>
      <c r="H65" s="71">
        <v>0</v>
      </c>
    </row>
    <row r="66" spans="1:8" ht="15" x14ac:dyDescent="0.35">
      <c r="A66" s="90">
        <f>Saldobalance!A111</f>
        <v>2261</v>
      </c>
      <c r="B66" s="62">
        <f>'Regnskab og budget'!$F$2</f>
        <v>41275</v>
      </c>
      <c r="C66" s="62">
        <f>'Regnskab og budget'!$H$2</f>
        <v>41639</v>
      </c>
      <c r="D66" s="20" t="str">
        <f>'Regnskab og budget'!A116</f>
        <v>Renovation</v>
      </c>
      <c r="E66" s="63">
        <f>'Regnskab og budget'!J116</f>
        <v>10900</v>
      </c>
      <c r="F66">
        <v>1</v>
      </c>
      <c r="G66" t="str">
        <f t="shared" si="0"/>
        <v/>
      </c>
      <c r="H66" s="71">
        <v>0</v>
      </c>
    </row>
    <row r="67" spans="1:8" ht="15" x14ac:dyDescent="0.35">
      <c r="A67" s="90">
        <f>Saldobalance!A112</f>
        <v>2262</v>
      </c>
      <c r="B67" s="62">
        <f>'Regnskab og budget'!$F$2</f>
        <v>41275</v>
      </c>
      <c r="C67" s="62">
        <f>'Regnskab og budget'!$H$2</f>
        <v>41639</v>
      </c>
      <c r="D67" s="20" t="str">
        <f>'Regnskab og budget'!A117</f>
        <v>EL</v>
      </c>
      <c r="E67" s="63">
        <f>'Regnskab og budget'!J117</f>
        <v>63200</v>
      </c>
      <c r="F67">
        <v>1</v>
      </c>
      <c r="G67" t="str">
        <f t="shared" si="0"/>
        <v/>
      </c>
      <c r="H67" s="71">
        <v>0</v>
      </c>
    </row>
    <row r="68" spans="1:8" ht="15" x14ac:dyDescent="0.35">
      <c r="A68" s="90">
        <f>Saldobalance!A113</f>
        <v>2263</v>
      </c>
      <c r="B68" s="62">
        <f>'Regnskab og budget'!$F$2</f>
        <v>41275</v>
      </c>
      <c r="C68" s="62">
        <f>'Regnskab og budget'!$H$2</f>
        <v>41639</v>
      </c>
      <c r="D68" s="20" t="str">
        <f>'Regnskab og budget'!A118</f>
        <v>Varme / gas</v>
      </c>
      <c r="E68" s="63">
        <f>'Regnskab og budget'!J118</f>
        <v>44000</v>
      </c>
      <c r="F68">
        <v>1</v>
      </c>
      <c r="G68" t="str">
        <f t="shared" si="0"/>
        <v/>
      </c>
      <c r="H68" s="71">
        <v>0</v>
      </c>
    </row>
    <row r="69" spans="1:8" ht="15" x14ac:dyDescent="0.35">
      <c r="A69" s="90">
        <f>Saldobalance!A114</f>
        <v>2264</v>
      </c>
      <c r="B69" s="62">
        <f>'Regnskab og budget'!$F$2</f>
        <v>41275</v>
      </c>
      <c r="C69" s="62">
        <f>'Regnskab og budget'!$H$2</f>
        <v>41639</v>
      </c>
      <c r="D69" s="20" t="str">
        <f>'Regnskab og budget'!A119</f>
        <v>Vand</v>
      </c>
      <c r="E69" s="63">
        <f>'Regnskab og budget'!J119</f>
        <v>19200</v>
      </c>
      <c r="F69">
        <v>1</v>
      </c>
      <c r="G69" t="str">
        <f t="shared" si="0"/>
        <v/>
      </c>
      <c r="H69" s="71">
        <v>0</v>
      </c>
    </row>
    <row r="70" spans="1:8" ht="15" x14ac:dyDescent="0.35">
      <c r="A70" s="90">
        <f>Saldobalance!A115</f>
        <v>2265</v>
      </c>
      <c r="B70" s="62">
        <f>'Regnskab og budget'!$F$2</f>
        <v>41275</v>
      </c>
      <c r="C70" s="62">
        <f>'Regnskab og budget'!$H$2</f>
        <v>41639</v>
      </c>
      <c r="D70" s="20" t="str">
        <f>'Regnskab og budget'!A120</f>
        <v>Vask</v>
      </c>
      <c r="E70" s="63">
        <f>'Regnskab og budget'!J120</f>
        <v>3000</v>
      </c>
      <c r="F70">
        <v>1</v>
      </c>
      <c r="G70" t="str">
        <f t="shared" si="0"/>
        <v/>
      </c>
      <c r="H70" s="71">
        <v>0</v>
      </c>
    </row>
    <row r="71" spans="1:8" ht="15" x14ac:dyDescent="0.35">
      <c r="A71" s="90">
        <f>Saldobalance!A119</f>
        <v>2271</v>
      </c>
      <c r="B71" s="62">
        <f>'Regnskab og budget'!$F$2</f>
        <v>41275</v>
      </c>
      <c r="C71" s="62">
        <f>'Regnskab og budget'!$H$2</f>
        <v>41639</v>
      </c>
      <c r="D71" s="20" t="str">
        <f>'Regnskab og budget'!A123</f>
        <v>Drift af bestyrelsen</v>
      </c>
      <c r="E71" s="63">
        <f>'Regnskab og budget'!J123</f>
        <v>3500</v>
      </c>
      <c r="F71">
        <v>1</v>
      </c>
      <c r="G71" t="str">
        <f t="shared" si="0"/>
        <v/>
      </c>
      <c r="H71" s="71">
        <v>0</v>
      </c>
    </row>
    <row r="72" spans="1:8" ht="15" x14ac:dyDescent="0.35">
      <c r="A72" s="90">
        <f>Saldobalance!A120</f>
        <v>2272</v>
      </c>
      <c r="B72" s="62">
        <f>'Regnskab og budget'!$F$2</f>
        <v>41275</v>
      </c>
      <c r="C72" s="62">
        <f>'Regnskab og budget'!$H$2</f>
        <v>41639</v>
      </c>
      <c r="D72" s="20" t="str">
        <f>'Regnskab og budget'!A124</f>
        <v>Kontorartikler og Porto</v>
      </c>
      <c r="E72" s="63">
        <f>'Regnskab og budget'!J124</f>
        <v>1500</v>
      </c>
      <c r="F72">
        <v>1</v>
      </c>
      <c r="G72" t="str">
        <f t="shared" ref="G72:G79" si="2">IF(E72&lt;0,"Kredit","")</f>
        <v/>
      </c>
      <c r="H72" s="71">
        <v>0</v>
      </c>
    </row>
    <row r="73" spans="1:8" ht="15" x14ac:dyDescent="0.35">
      <c r="A73" s="90">
        <f>Saldobalance!A121</f>
        <v>2273</v>
      </c>
      <c r="B73" s="62">
        <f>'Regnskab og budget'!$F$2</f>
        <v>41275</v>
      </c>
      <c r="C73" s="62">
        <f>'Regnskab og budget'!$H$2</f>
        <v>41639</v>
      </c>
      <c r="D73" s="20" t="str">
        <f>'Regnskab og budget'!A125</f>
        <v>Økonomisystem</v>
      </c>
      <c r="E73" s="63">
        <f>'Regnskab og budget'!J125</f>
        <v>5500</v>
      </c>
      <c r="F73">
        <v>1</v>
      </c>
      <c r="G73" t="str">
        <f t="shared" si="2"/>
        <v/>
      </c>
      <c r="H73" s="71">
        <v>0</v>
      </c>
    </row>
    <row r="74" spans="1:8" ht="15" x14ac:dyDescent="0.35">
      <c r="A74" s="90">
        <f>Saldobalance!A125</f>
        <v>2282</v>
      </c>
      <c r="B74" s="62">
        <f>'Regnskab og budget'!$F$2</f>
        <v>41275</v>
      </c>
      <c r="C74" s="62">
        <f>'Regnskab og budget'!$H$2</f>
        <v>41639</v>
      </c>
      <c r="D74" s="20" t="str">
        <f>'Regnskab og budget'!A128</f>
        <v>GEF-regnskab</v>
      </c>
      <c r="E74" s="63">
        <f>'Regnskab og budget'!J128</f>
        <v>21625</v>
      </c>
      <c r="F74">
        <v>1</v>
      </c>
      <c r="G74" t="str">
        <f t="shared" si="2"/>
        <v/>
      </c>
      <c r="H74" s="71">
        <v>0</v>
      </c>
    </row>
    <row r="75" spans="1:8" ht="15" x14ac:dyDescent="0.35">
      <c r="A75" s="90">
        <f>Saldobalance!A126</f>
        <v>2284</v>
      </c>
      <c r="B75" s="62">
        <f>'Regnskab og budget'!$F$2</f>
        <v>41275</v>
      </c>
      <c r="C75" s="62">
        <f>'Regnskab og budget'!$H$2</f>
        <v>41639</v>
      </c>
      <c r="D75" s="20" t="str">
        <f>'Regnskab og budget'!A129</f>
        <v>IS-regnskab</v>
      </c>
      <c r="E75" s="63">
        <f>'Regnskab og budget'!J129</f>
        <v>8500</v>
      </c>
      <c r="F75">
        <v>1</v>
      </c>
      <c r="G75" t="str">
        <f t="shared" si="2"/>
        <v/>
      </c>
      <c r="H75" s="71">
        <v>0</v>
      </c>
    </row>
    <row r="76" spans="1:8" ht="15" x14ac:dyDescent="0.35">
      <c r="A76" s="90">
        <f>Saldobalance!A130</f>
        <v>2292</v>
      </c>
      <c r="B76" s="62">
        <f>'Regnskab og budget'!$F$2</f>
        <v>41275</v>
      </c>
      <c r="C76" s="62">
        <f>'Regnskab og budget'!$H$2</f>
        <v>41639</v>
      </c>
      <c r="D76" s="20" t="str">
        <f>'Regnskab og budget'!A132</f>
        <v>Tab på Bofæller</v>
      </c>
      <c r="E76" s="63">
        <f>'Regnskab og budget'!J132</f>
        <v>0</v>
      </c>
      <c r="F76">
        <v>1</v>
      </c>
      <c r="G76" t="str">
        <f t="shared" si="2"/>
        <v/>
      </c>
      <c r="H76" s="71">
        <v>0</v>
      </c>
    </row>
    <row r="77" spans="1:8" ht="15" x14ac:dyDescent="0.35">
      <c r="A77" s="90">
        <f>Saldobalance!A131</f>
        <v>2293</v>
      </c>
      <c r="B77" s="62">
        <f>'Regnskab og budget'!$F$2</f>
        <v>41275</v>
      </c>
      <c r="C77" s="62">
        <f>'Regnskab og budget'!$H$2</f>
        <v>41639</v>
      </c>
      <c r="D77" s="20" t="str">
        <f>'Regnskab og budget'!A133</f>
        <v>Øredifferencer</v>
      </c>
      <c r="E77" s="63">
        <f>'Regnskab og budget'!J133</f>
        <v>0</v>
      </c>
      <c r="F77">
        <v>1</v>
      </c>
      <c r="G77" t="str">
        <f t="shared" si="2"/>
        <v/>
      </c>
      <c r="H77" s="71">
        <v>0</v>
      </c>
    </row>
    <row r="78" spans="1:8" ht="15" x14ac:dyDescent="0.35">
      <c r="A78" s="90">
        <f>Saldobalance!A132</f>
        <v>2294</v>
      </c>
      <c r="B78" s="62">
        <f>'Regnskab og budget'!$F$2</f>
        <v>41275</v>
      </c>
      <c r="C78" s="62">
        <f>'Regnskab og budget'!$H$2</f>
        <v>41639</v>
      </c>
      <c r="D78" s="20" t="str">
        <f>'Regnskab og budget'!A134</f>
        <v>Afrundingsfejl på Sol-projekt</v>
      </c>
      <c r="E78" s="63">
        <f>'Regnskab og budget'!J134</f>
        <v>84</v>
      </c>
      <c r="F78">
        <v>1</v>
      </c>
      <c r="G78" t="str">
        <f t="shared" si="2"/>
        <v/>
      </c>
      <c r="H78" s="71">
        <v>0</v>
      </c>
    </row>
    <row r="79" spans="1:8" ht="15" x14ac:dyDescent="0.35">
      <c r="A79" s="90">
        <f>Saldobalance!A133</f>
        <v>2295</v>
      </c>
      <c r="B79" s="62">
        <f>'Regnskab og budget'!$F$2</f>
        <v>41275</v>
      </c>
      <c r="C79" s="62">
        <f>'Regnskab og budget'!$H$2</f>
        <v>41639</v>
      </c>
      <c r="D79" s="20" t="str">
        <f>'Regnskab og budget'!A135</f>
        <v>Diverse omkostninger</v>
      </c>
      <c r="E79" s="63">
        <f>'Regnskab og budget'!J135</f>
        <v>2000</v>
      </c>
      <c r="F79">
        <v>1</v>
      </c>
      <c r="G79" t="str">
        <f t="shared" si="2"/>
        <v/>
      </c>
      <c r="H79" s="71">
        <v>0</v>
      </c>
    </row>
    <row r="80" spans="1:8" x14ac:dyDescent="0.25">
      <c r="A80" s="90">
        <f>Saldobalance!A167</f>
        <v>3420</v>
      </c>
      <c r="B80" s="62">
        <f>'Regnskab og budget'!$F$2</f>
        <v>41275</v>
      </c>
      <c r="C80" s="62">
        <f>'Regnskab og budget'!$H$2</f>
        <v>41639</v>
      </c>
      <c r="D80" s="149" t="str">
        <f>Saldobalance!B173</f>
        <v>TV Fælleshuset</v>
      </c>
      <c r="E80" s="63">
        <v>0</v>
      </c>
      <c r="F80">
        <v>1</v>
      </c>
      <c r="G80" s="113" t="s">
        <v>27</v>
      </c>
      <c r="H80" s="63">
        <v>0</v>
      </c>
    </row>
  </sheetData>
  <protectedRanges>
    <protectedRange sqref="H2:H79" name="Område1"/>
  </protectedRanges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7"/>
  <sheetViews>
    <sheetView topLeftCell="A187" workbookViewId="0">
      <selection activeCell="A54" sqref="A54"/>
    </sheetView>
  </sheetViews>
  <sheetFormatPr defaultRowHeight="13.2" x14ac:dyDescent="0.25"/>
  <cols>
    <col min="1" max="1" width="8.109375" bestFit="1" customWidth="1"/>
    <col min="2" max="2" width="34.88671875" bestFit="1" customWidth="1"/>
    <col min="3" max="3" width="10.5546875" bestFit="1" customWidth="1"/>
    <col min="4" max="4" width="20.109375" bestFit="1" customWidth="1"/>
    <col min="5" max="5" width="11" bestFit="1" customWidth="1"/>
    <col min="6" max="6" width="11.88671875" bestFit="1" customWidth="1"/>
    <col min="7" max="7" width="10.33203125" bestFit="1" customWidth="1"/>
    <col min="8" max="8" width="16.5546875" bestFit="1" customWidth="1"/>
    <col min="9" max="9" width="8.5546875" bestFit="1" customWidth="1"/>
    <col min="10" max="10" width="15.33203125" bestFit="1" customWidth="1"/>
    <col min="11" max="12" width="6.5546875" bestFit="1" customWidth="1"/>
    <col min="13" max="13" width="16.44140625" bestFit="1" customWidth="1"/>
  </cols>
  <sheetData>
    <row r="1" spans="1:13" ht="14.4" x14ac:dyDescent="0.3">
      <c r="A1" s="59" t="s">
        <v>18</v>
      </c>
      <c r="B1" s="59" t="s">
        <v>94</v>
      </c>
      <c r="C1" s="59" t="s">
        <v>23</v>
      </c>
      <c r="D1" s="59" t="s">
        <v>95</v>
      </c>
      <c r="E1" s="59" t="s">
        <v>96</v>
      </c>
      <c r="F1" s="59" t="s">
        <v>24</v>
      </c>
      <c r="G1" s="59" t="s">
        <v>97</v>
      </c>
      <c r="H1" s="59" t="s">
        <v>98</v>
      </c>
      <c r="I1" s="59" t="s">
        <v>99</v>
      </c>
      <c r="J1" s="59" t="s">
        <v>100</v>
      </c>
      <c r="K1" s="59" t="s">
        <v>101</v>
      </c>
      <c r="L1" s="59" t="s">
        <v>102</v>
      </c>
      <c r="M1" s="59" t="s">
        <v>103</v>
      </c>
    </row>
    <row r="2" spans="1:13" ht="15" x14ac:dyDescent="0.35">
      <c r="A2" s="77">
        <v>1000</v>
      </c>
      <c r="B2" s="78" t="s">
        <v>104</v>
      </c>
      <c r="C2">
        <v>5</v>
      </c>
    </row>
    <row r="3" spans="1:13" ht="15" x14ac:dyDescent="0.35">
      <c r="A3" s="77">
        <v>1001</v>
      </c>
      <c r="B3" s="79" t="str">
        <f>Saldobalance!B5</f>
        <v>Fælles indtægter</v>
      </c>
      <c r="C3">
        <v>4</v>
      </c>
    </row>
    <row r="4" spans="1:13" ht="15" x14ac:dyDescent="0.35">
      <c r="A4" s="79">
        <f>Saldobalance!A6</f>
        <v>1010</v>
      </c>
      <c r="B4" s="79" t="str">
        <f>Saldobalance!B6</f>
        <v>GEF ejerne</v>
      </c>
      <c r="C4">
        <v>1</v>
      </c>
      <c r="F4" t="s">
        <v>27</v>
      </c>
    </row>
    <row r="5" spans="1:13" ht="15" x14ac:dyDescent="0.35">
      <c r="A5" s="79">
        <f>Saldobalance!A7</f>
        <v>1020</v>
      </c>
      <c r="B5" s="79" t="str">
        <f>Saldobalance!B7</f>
        <v>GEF lejerne</v>
      </c>
      <c r="C5">
        <v>1</v>
      </c>
      <c r="F5" t="s">
        <v>27</v>
      </c>
    </row>
    <row r="6" spans="1:13" ht="15" x14ac:dyDescent="0.35">
      <c r="A6" s="79">
        <f>Saldobalance!A8</f>
        <v>1030</v>
      </c>
      <c r="B6" s="79" t="str">
        <f>Saldobalance!B8</f>
        <v>Rykkergebyr</v>
      </c>
      <c r="C6">
        <v>1</v>
      </c>
      <c r="F6" t="s">
        <v>27</v>
      </c>
    </row>
    <row r="7" spans="1:13" ht="15" x14ac:dyDescent="0.35">
      <c r="A7" s="79">
        <f>Saldobalance!A9</f>
        <v>1040</v>
      </c>
      <c r="B7" s="79" t="str">
        <f>Saldobalance!B9</f>
        <v>Andre indtægter</v>
      </c>
      <c r="C7">
        <v>1</v>
      </c>
      <c r="F7" t="s">
        <v>27</v>
      </c>
    </row>
    <row r="8" spans="1:13" ht="15" x14ac:dyDescent="0.35">
      <c r="A8" s="80">
        <v>1099</v>
      </c>
      <c r="B8" s="79" t="str">
        <f>Saldobalance!B10</f>
        <v>Fællesindtægter i alt</v>
      </c>
      <c r="C8">
        <v>6</v>
      </c>
      <c r="D8">
        <v>1000</v>
      </c>
    </row>
    <row r="9" spans="1:13" ht="15" x14ac:dyDescent="0.35">
      <c r="A9" s="77">
        <v>1300</v>
      </c>
      <c r="B9" s="78" t="s">
        <v>106</v>
      </c>
      <c r="C9">
        <v>4</v>
      </c>
      <c r="F9" t="s">
        <v>107</v>
      </c>
    </row>
    <row r="10" spans="1:13" ht="15" x14ac:dyDescent="0.35">
      <c r="A10" s="77">
        <v>1310</v>
      </c>
      <c r="B10" s="78" t="s">
        <v>108</v>
      </c>
      <c r="C10">
        <v>4</v>
      </c>
      <c r="F10" t="s">
        <v>107</v>
      </c>
    </row>
    <row r="11" spans="1:13" ht="15" x14ac:dyDescent="0.35">
      <c r="A11" s="79">
        <f>Saldobalance!A15</f>
        <v>1311</v>
      </c>
      <c r="B11" s="79" t="str">
        <f>Saldobalance!B15</f>
        <v>Rep maskine og anlæg</v>
      </c>
      <c r="C11">
        <v>1</v>
      </c>
      <c r="F11" t="s">
        <v>107</v>
      </c>
    </row>
    <row r="12" spans="1:13" ht="15" x14ac:dyDescent="0.35">
      <c r="A12" s="79">
        <f>Saldobalance!A16</f>
        <v>1312</v>
      </c>
      <c r="B12" s="79" t="str">
        <f>Saldobalance!B16</f>
        <v>Rep og service Gasfyr</v>
      </c>
      <c r="C12">
        <v>1</v>
      </c>
      <c r="F12" t="s">
        <v>107</v>
      </c>
    </row>
    <row r="13" spans="1:13" ht="15" x14ac:dyDescent="0.35">
      <c r="A13" s="79">
        <f>Saldobalance!A17</f>
        <v>1313</v>
      </c>
      <c r="B13" s="79" t="str">
        <f>Saldobalance!B17</f>
        <v>Rep. vaskeriet</v>
      </c>
      <c r="C13">
        <v>1</v>
      </c>
      <c r="F13" t="s">
        <v>107</v>
      </c>
    </row>
    <row r="14" spans="1:13" ht="15" x14ac:dyDescent="0.35">
      <c r="A14" s="79">
        <f>Saldobalance!A18</f>
        <v>1314</v>
      </c>
      <c r="B14" s="79" t="str">
        <f>Saldobalance!B18</f>
        <v>Indv. vedl. FÆ-hus</v>
      </c>
      <c r="C14">
        <v>1</v>
      </c>
      <c r="F14" t="s">
        <v>107</v>
      </c>
    </row>
    <row r="15" spans="1:13" ht="15" x14ac:dyDescent="0.35">
      <c r="A15" s="79">
        <f>Saldobalance!A19</f>
        <v>1315</v>
      </c>
      <c r="B15" s="79" t="str">
        <f>Saldobalance!B19</f>
        <v>Udv. vedl. FÆ-hus</v>
      </c>
      <c r="C15">
        <v>1</v>
      </c>
      <c r="F15" t="s">
        <v>107</v>
      </c>
    </row>
    <row r="16" spans="1:13" ht="15" x14ac:dyDescent="0.35">
      <c r="A16" s="79">
        <f>Saldobalance!A20</f>
        <v>1316</v>
      </c>
      <c r="B16" s="79" t="str">
        <f>Saldobalance!B20</f>
        <v>Vedl. fællesarealer</v>
      </c>
      <c r="C16">
        <v>1</v>
      </c>
      <c r="F16" t="s">
        <v>107</v>
      </c>
    </row>
    <row r="17" spans="1:6" ht="15" x14ac:dyDescent="0.35">
      <c r="A17" s="79">
        <f>Saldobalance!A21</f>
        <v>1317</v>
      </c>
      <c r="B17" s="79" t="str">
        <f>Saldobalance!B21</f>
        <v>Snerydning</v>
      </c>
      <c r="C17">
        <v>1</v>
      </c>
    </row>
    <row r="18" spans="1:6" ht="15" x14ac:dyDescent="0.35">
      <c r="A18" s="79">
        <v>1319</v>
      </c>
      <c r="B18" s="79" t="s">
        <v>109</v>
      </c>
      <c r="C18">
        <v>3</v>
      </c>
      <c r="D18">
        <v>1310</v>
      </c>
      <c r="F18" t="s">
        <v>107</v>
      </c>
    </row>
    <row r="19" spans="1:6" ht="15" x14ac:dyDescent="0.35">
      <c r="A19" s="77">
        <v>1320</v>
      </c>
      <c r="B19" s="78" t="s">
        <v>110</v>
      </c>
      <c r="C19">
        <v>4</v>
      </c>
      <c r="F19" t="s">
        <v>107</v>
      </c>
    </row>
    <row r="20" spans="1:6" ht="15" x14ac:dyDescent="0.35">
      <c r="A20" s="79">
        <f>Saldobalance!A25</f>
        <v>1321</v>
      </c>
      <c r="B20" s="79" t="str">
        <f>Saldobalance!B25</f>
        <v>Inventar</v>
      </c>
      <c r="C20">
        <v>1</v>
      </c>
      <c r="F20" t="s">
        <v>107</v>
      </c>
    </row>
    <row r="21" spans="1:6" ht="15" x14ac:dyDescent="0.35">
      <c r="A21" s="79">
        <f>Saldobalance!A26</f>
        <v>1322</v>
      </c>
      <c r="B21" s="79" t="str">
        <f>Saldobalance!B26</f>
        <v>Køkkenudstyr</v>
      </c>
      <c r="C21">
        <v>1</v>
      </c>
      <c r="F21" t="s">
        <v>107</v>
      </c>
    </row>
    <row r="22" spans="1:6" ht="15" x14ac:dyDescent="0.35">
      <c r="A22" s="79">
        <f>Saldobalance!A27</f>
        <v>1323</v>
      </c>
      <c r="B22" s="79" t="str">
        <f>Saldobalance!B27</f>
        <v>EL-artik, pærer mv</v>
      </c>
      <c r="C22">
        <v>1</v>
      </c>
      <c r="F22" t="s">
        <v>107</v>
      </c>
    </row>
    <row r="23" spans="1:6" ht="15" x14ac:dyDescent="0.35">
      <c r="A23" s="79">
        <f>Saldobalance!A28</f>
        <v>1324</v>
      </c>
      <c r="B23" s="79" t="str">
        <f>Saldobalance!B28</f>
        <v>Rengøringsmidler/-artikler</v>
      </c>
      <c r="C23">
        <v>1</v>
      </c>
      <c r="F23" t="s">
        <v>107</v>
      </c>
    </row>
    <row r="24" spans="1:6" ht="15" x14ac:dyDescent="0.35">
      <c r="A24" s="79">
        <f>Saldobalance!A29</f>
        <v>1325</v>
      </c>
      <c r="B24" s="79" t="str">
        <f>Saldobalance!B29</f>
        <v>Lys, blomster</v>
      </c>
      <c r="C24">
        <v>1</v>
      </c>
      <c r="F24" t="s">
        <v>107</v>
      </c>
    </row>
    <row r="25" spans="1:6" ht="15" x14ac:dyDescent="0.35">
      <c r="A25" s="79">
        <f>Saldobalance!A30</f>
        <v>1326</v>
      </c>
      <c r="B25" s="79" t="str">
        <f>Saldobalance!B30</f>
        <v>Krydderier</v>
      </c>
      <c r="C25">
        <v>1</v>
      </c>
      <c r="F25" t="s">
        <v>107</v>
      </c>
    </row>
    <row r="26" spans="1:6" ht="15" x14ac:dyDescent="0.35">
      <c r="A26" s="79">
        <f>Saldobalance!A31</f>
        <v>1327</v>
      </c>
      <c r="B26" s="79" t="str">
        <f>Saldobalance!B31</f>
        <v>Diverse Fælleshus</v>
      </c>
      <c r="C26">
        <v>1</v>
      </c>
      <c r="F26" t="s">
        <v>107</v>
      </c>
    </row>
    <row r="27" spans="1:6" ht="15" x14ac:dyDescent="0.35">
      <c r="A27" s="80">
        <v>1329</v>
      </c>
      <c r="B27" s="81" t="s">
        <v>111</v>
      </c>
      <c r="C27">
        <v>3</v>
      </c>
      <c r="D27">
        <v>1320</v>
      </c>
      <c r="F27" t="s">
        <v>107</v>
      </c>
    </row>
    <row r="28" spans="1:6" ht="15" x14ac:dyDescent="0.35">
      <c r="A28" s="77">
        <v>1330</v>
      </c>
      <c r="B28" s="78" t="s">
        <v>112</v>
      </c>
      <c r="C28">
        <v>4</v>
      </c>
      <c r="F28" t="s">
        <v>107</v>
      </c>
    </row>
    <row r="29" spans="1:6" ht="15" x14ac:dyDescent="0.35">
      <c r="A29" s="79">
        <f>Saldobalance!A35</f>
        <v>1331</v>
      </c>
      <c r="B29" s="79" t="str">
        <f>Saldobalance!B35</f>
        <v>Gaver</v>
      </c>
      <c r="C29">
        <v>1</v>
      </c>
      <c r="F29" t="s">
        <v>107</v>
      </c>
    </row>
    <row r="30" spans="1:6" ht="15" x14ac:dyDescent="0.35">
      <c r="A30" s="79">
        <f>Saldobalance!A36</f>
        <v>1332</v>
      </c>
      <c r="B30" s="79" t="str">
        <f>Saldobalance!B36</f>
        <v>Fester/kultur</v>
      </c>
      <c r="C30">
        <v>1</v>
      </c>
      <c r="F30" t="s">
        <v>107</v>
      </c>
    </row>
    <row r="31" spans="1:6" ht="15" x14ac:dyDescent="0.35">
      <c r="A31" s="79">
        <f>Saldobalance!A37</f>
        <v>1333</v>
      </c>
      <c r="B31" s="79" t="str">
        <f>Saldobalance!B37</f>
        <v>Fortæring arbejdsweekends</v>
      </c>
      <c r="C31">
        <v>1</v>
      </c>
      <c r="F31" t="s">
        <v>107</v>
      </c>
    </row>
    <row r="32" spans="1:6" ht="15" x14ac:dyDescent="0.35">
      <c r="A32" s="79">
        <f>Saldobalance!A38</f>
        <v>1334</v>
      </c>
      <c r="B32" s="79" t="str">
        <f>Saldobalance!B38</f>
        <v>Fortæring generalforsamling</v>
      </c>
      <c r="C32">
        <v>1</v>
      </c>
      <c r="F32" t="s">
        <v>107</v>
      </c>
    </row>
    <row r="33" spans="1:6" ht="15" x14ac:dyDescent="0.35">
      <c r="A33" s="79">
        <f>Saldobalance!A39</f>
        <v>1335</v>
      </c>
      <c r="B33" s="79" t="str">
        <f>Saldobalance!B39</f>
        <v>Adventsarrangementer</v>
      </c>
      <c r="C33">
        <v>1</v>
      </c>
      <c r="F33" t="s">
        <v>107</v>
      </c>
    </row>
    <row r="34" spans="1:6" ht="15" x14ac:dyDescent="0.35">
      <c r="A34" s="79">
        <f>Saldobalance!A40</f>
        <v>1336</v>
      </c>
      <c r="B34" s="79" t="str">
        <f>Saldobalance!B40</f>
        <v>Fastelavn</v>
      </c>
      <c r="C34">
        <v>1</v>
      </c>
      <c r="F34" t="s">
        <v>107</v>
      </c>
    </row>
    <row r="35" spans="1:6" ht="15" x14ac:dyDescent="0.35">
      <c r="A35" s="79">
        <f>Saldobalance!A41</f>
        <v>1337</v>
      </c>
      <c r="B35" s="79" t="str">
        <f>Saldobalance!B41</f>
        <v>Cafemøder</v>
      </c>
      <c r="C35">
        <v>1</v>
      </c>
      <c r="F35" t="s">
        <v>107</v>
      </c>
    </row>
    <row r="36" spans="1:6" ht="15" x14ac:dyDescent="0.35">
      <c r="A36" s="79">
        <f>Saldobalance!A42</f>
        <v>1338</v>
      </c>
      <c r="B36" s="79" t="str">
        <f>Saldobalance!B42</f>
        <v>Bakkeweekend</v>
      </c>
      <c r="C36">
        <v>1</v>
      </c>
      <c r="F36" t="s">
        <v>107</v>
      </c>
    </row>
    <row r="37" spans="1:6" ht="15" x14ac:dyDescent="0.35">
      <c r="A37" s="79">
        <f>Saldobalance!A43</f>
        <v>1339</v>
      </c>
      <c r="B37" s="79" t="str">
        <f>Saldobalance!B43</f>
        <v>Skt. Hans</v>
      </c>
      <c r="C37">
        <v>1</v>
      </c>
      <c r="F37" t="s">
        <v>107</v>
      </c>
    </row>
    <row r="38" spans="1:6" ht="15" x14ac:dyDescent="0.35">
      <c r="A38" s="79">
        <f>Saldobalance!A44</f>
        <v>1340</v>
      </c>
      <c r="B38" s="79" t="str">
        <f>Saldobalance!B44</f>
        <v>Kultur - udgået</v>
      </c>
      <c r="C38">
        <v>1</v>
      </c>
      <c r="F38" t="s">
        <v>107</v>
      </c>
    </row>
    <row r="39" spans="1:6" ht="15" x14ac:dyDescent="0.35">
      <c r="A39" s="80">
        <v>1349</v>
      </c>
      <c r="B39" s="81" t="s">
        <v>193</v>
      </c>
      <c r="C39">
        <v>3</v>
      </c>
      <c r="D39">
        <v>1330</v>
      </c>
      <c r="F39" t="s">
        <v>107</v>
      </c>
    </row>
    <row r="40" spans="1:6" ht="15" x14ac:dyDescent="0.35">
      <c r="A40" s="77">
        <v>1350</v>
      </c>
      <c r="B40" s="78" t="s">
        <v>113</v>
      </c>
      <c r="C40">
        <v>4</v>
      </c>
      <c r="F40" t="s">
        <v>107</v>
      </c>
    </row>
    <row r="41" spans="1:6" ht="15" x14ac:dyDescent="0.35">
      <c r="A41" s="79">
        <f>Saldobalance!A48</f>
        <v>1351</v>
      </c>
      <c r="B41" s="79" t="str">
        <f>Saldobalance!B48</f>
        <v>Telefon / bredbånd</v>
      </c>
      <c r="C41">
        <v>1</v>
      </c>
      <c r="F41" t="s">
        <v>107</v>
      </c>
    </row>
    <row r="42" spans="1:6" ht="15" x14ac:dyDescent="0.35">
      <c r="A42" s="79">
        <f>Saldobalance!A49</f>
        <v>1352</v>
      </c>
      <c r="B42" s="79" t="str">
        <f>Saldobalance!B49</f>
        <v>TV + licens</v>
      </c>
      <c r="C42">
        <v>1</v>
      </c>
      <c r="F42" t="s">
        <v>107</v>
      </c>
    </row>
    <row r="43" spans="1:6" ht="15" x14ac:dyDescent="0.35">
      <c r="A43" s="79">
        <f>Saldobalance!A50</f>
        <v>1353</v>
      </c>
      <c r="B43" s="79" t="str">
        <f>Saldobalance!B50</f>
        <v>Hjemmeside/e-mail</v>
      </c>
      <c r="C43">
        <v>1</v>
      </c>
      <c r="F43" t="s">
        <v>107</v>
      </c>
    </row>
    <row r="44" spans="1:6" ht="15" x14ac:dyDescent="0.35">
      <c r="A44" s="79">
        <f>Saldobalance!A51</f>
        <v>1355</v>
      </c>
      <c r="B44" s="79" t="str">
        <f>Saldobalance!B51</f>
        <v>Aviser og tidsskrifter</v>
      </c>
      <c r="C44">
        <v>1</v>
      </c>
    </row>
    <row r="45" spans="1:6" ht="15" x14ac:dyDescent="0.35">
      <c r="A45" s="79">
        <v>1359</v>
      </c>
      <c r="B45" s="81" t="s">
        <v>114</v>
      </c>
      <c r="C45">
        <v>3</v>
      </c>
      <c r="D45">
        <v>1350</v>
      </c>
      <c r="F45" t="s">
        <v>107</v>
      </c>
    </row>
    <row r="46" spans="1:6" ht="15" x14ac:dyDescent="0.35">
      <c r="A46" s="77">
        <v>1360</v>
      </c>
      <c r="B46" s="78" t="s">
        <v>373</v>
      </c>
      <c r="C46">
        <v>4</v>
      </c>
      <c r="F46" t="s">
        <v>107</v>
      </c>
    </row>
    <row r="47" spans="1:6" ht="15" x14ac:dyDescent="0.35">
      <c r="A47" s="79">
        <f>Saldobalance!A55</f>
        <v>1361</v>
      </c>
      <c r="B47" s="79" t="str">
        <f>Saldobalance!B55</f>
        <v>Asfalt</v>
      </c>
      <c r="C47">
        <v>1</v>
      </c>
      <c r="F47" t="s">
        <v>107</v>
      </c>
    </row>
    <row r="48" spans="1:6" ht="15" x14ac:dyDescent="0.35">
      <c r="A48" s="79">
        <f>Saldobalance!A56</f>
        <v>1362</v>
      </c>
      <c r="B48" s="79" t="str">
        <f>Saldobalance!B56</f>
        <v>Salg af Gården</v>
      </c>
      <c r="C48">
        <v>1</v>
      </c>
      <c r="F48" t="s">
        <v>107</v>
      </c>
    </row>
    <row r="49" spans="1:6" ht="15" x14ac:dyDescent="0.35">
      <c r="A49" s="79">
        <f>Saldobalance!A57</f>
        <v>1363</v>
      </c>
      <c r="B49" s="79" t="str">
        <f>Saldobalance!B57</f>
        <v>Kolbøtten</v>
      </c>
      <c r="C49">
        <v>1</v>
      </c>
      <c r="F49" s="113" t="s">
        <v>107</v>
      </c>
    </row>
    <row r="50" spans="1:6" ht="15" x14ac:dyDescent="0.35">
      <c r="A50" s="79">
        <f>Saldobalance!A58</f>
        <v>1364</v>
      </c>
      <c r="B50" s="79" t="str">
        <f>Saldobalance!B58</f>
        <v>Fælleshustorvet</v>
      </c>
      <c r="C50">
        <v>1</v>
      </c>
      <c r="F50" s="113" t="s">
        <v>107</v>
      </c>
    </row>
    <row r="51" spans="1:6" ht="15" x14ac:dyDescent="0.35">
      <c r="A51" s="79">
        <f>Saldobalance!A59</f>
        <v>1365</v>
      </c>
      <c r="B51" s="79" t="str">
        <f>Saldobalance!B59</f>
        <v>Svællemuren</v>
      </c>
      <c r="C51">
        <v>1</v>
      </c>
      <c r="F51" s="113" t="s">
        <v>107</v>
      </c>
    </row>
    <row r="52" spans="1:6" ht="15" x14ac:dyDescent="0.35">
      <c r="A52" s="79">
        <f>Saldobalance!A60</f>
        <v>1368</v>
      </c>
      <c r="B52" s="79" t="str">
        <f>Saldobalance!B60</f>
        <v>Uspecificerede projekter</v>
      </c>
      <c r="C52">
        <v>1</v>
      </c>
      <c r="F52" s="113" t="s">
        <v>107</v>
      </c>
    </row>
    <row r="53" spans="1:6" ht="15" x14ac:dyDescent="0.35">
      <c r="A53" s="79">
        <v>1369</v>
      </c>
      <c r="B53" s="81" t="s">
        <v>384</v>
      </c>
      <c r="C53">
        <v>3</v>
      </c>
      <c r="D53">
        <v>1360</v>
      </c>
      <c r="F53" t="s">
        <v>107</v>
      </c>
    </row>
    <row r="54" spans="1:6" ht="15" x14ac:dyDescent="0.35">
      <c r="A54" s="79">
        <f>Saldobalance!A62</f>
        <v>1370</v>
      </c>
      <c r="B54" s="79" t="str">
        <f>Saldobalance!B62</f>
        <v>Nyanskaffelse</v>
      </c>
      <c r="C54">
        <v>1</v>
      </c>
      <c r="F54" t="s">
        <v>107</v>
      </c>
    </row>
    <row r="55" spans="1:6" ht="15" x14ac:dyDescent="0.35">
      <c r="A55" s="79">
        <f>Saldobalance!A63</f>
        <v>1375</v>
      </c>
      <c r="B55" s="79" t="str">
        <f>Saldobalance!B63</f>
        <v>Markedsføring</v>
      </c>
      <c r="C55">
        <v>1</v>
      </c>
      <c r="F55" t="s">
        <v>107</v>
      </c>
    </row>
    <row r="56" spans="1:6" ht="15" x14ac:dyDescent="0.35">
      <c r="A56" s="77">
        <v>1380</v>
      </c>
      <c r="B56" s="78" t="s">
        <v>231</v>
      </c>
      <c r="C56">
        <v>4</v>
      </c>
    </row>
    <row r="57" spans="1:6" ht="15" x14ac:dyDescent="0.35">
      <c r="A57" s="79">
        <f>Saldobalance!A66</f>
        <v>1382</v>
      </c>
      <c r="B57" s="79" t="str">
        <f>Saldobalance!B66</f>
        <v>Salg af fåreprodukter (Brutto)</v>
      </c>
      <c r="C57">
        <v>1</v>
      </c>
      <c r="F57" t="s">
        <v>27</v>
      </c>
    </row>
    <row r="58" spans="1:6" ht="15" x14ac:dyDescent="0.35">
      <c r="A58" s="79">
        <f>Saldobalance!A67</f>
        <v>1383</v>
      </c>
      <c r="B58" s="79" t="str">
        <f>Saldobalance!B67</f>
        <v>Rabat på fåreprodukter</v>
      </c>
      <c r="C58">
        <v>1</v>
      </c>
      <c r="F58" s="113" t="s">
        <v>107</v>
      </c>
    </row>
    <row r="59" spans="1:6" ht="15" x14ac:dyDescent="0.35">
      <c r="A59" s="79">
        <f>Saldobalance!A68</f>
        <v>1384</v>
      </c>
      <c r="B59" s="79" t="str">
        <f>Saldobalance!B68</f>
        <v>Løbende udgifter/får</v>
      </c>
      <c r="C59">
        <v>1</v>
      </c>
      <c r="F59" s="113" t="s">
        <v>107</v>
      </c>
    </row>
    <row r="60" spans="1:6" ht="15" x14ac:dyDescent="0.35">
      <c r="A60" s="79">
        <f>Saldobalance!A69</f>
        <v>1392</v>
      </c>
      <c r="B60" s="79" t="str">
        <f>Saldobalance!B69</f>
        <v>Engangsudgifter/får</v>
      </c>
      <c r="C60">
        <v>1</v>
      </c>
    </row>
    <row r="61" spans="1:6" ht="15" x14ac:dyDescent="0.35">
      <c r="A61" s="79">
        <f>Saldobalance!A70</f>
        <v>1397</v>
      </c>
      <c r="B61" s="79" t="str">
        <f>Saldobalance!B70</f>
        <v>Årets udvikling/får</v>
      </c>
      <c r="C61">
        <v>1</v>
      </c>
    </row>
    <row r="62" spans="1:6" ht="15" x14ac:dyDescent="0.35">
      <c r="A62" s="80">
        <v>1399</v>
      </c>
      <c r="B62" s="81" t="s">
        <v>235</v>
      </c>
      <c r="C62">
        <v>3</v>
      </c>
      <c r="D62">
        <v>1380</v>
      </c>
    </row>
    <row r="63" spans="1:6" ht="15" x14ac:dyDescent="0.35">
      <c r="A63" s="77">
        <v>1400</v>
      </c>
      <c r="B63" s="78" t="s">
        <v>134</v>
      </c>
      <c r="C63">
        <v>4</v>
      </c>
    </row>
    <row r="64" spans="1:6" ht="15" x14ac:dyDescent="0.35">
      <c r="A64" s="79">
        <f>Saldobalance!A74</f>
        <v>1410</v>
      </c>
      <c r="B64" s="79" t="str">
        <f>Saldobalance!B74</f>
        <v>Huslejeopkrævet</v>
      </c>
      <c r="C64">
        <v>1</v>
      </c>
      <c r="F64" t="s">
        <v>27</v>
      </c>
    </row>
    <row r="65" spans="1:6" ht="15" x14ac:dyDescent="0.35">
      <c r="A65" s="79">
        <f>Saldobalance!A75</f>
        <v>1420</v>
      </c>
      <c r="B65" s="79" t="str">
        <f>Saldobalance!B75</f>
        <v>Ikke længere i brug</v>
      </c>
      <c r="C65">
        <v>1</v>
      </c>
      <c r="F65" t="s">
        <v>27</v>
      </c>
    </row>
    <row r="66" spans="1:6" ht="15" x14ac:dyDescent="0.35">
      <c r="A66" s="79">
        <f>Saldobalance!A76</f>
        <v>1425</v>
      </c>
      <c r="B66" s="79" t="str">
        <f>Saldobalance!B76</f>
        <v>EL opkrævet</v>
      </c>
      <c r="C66">
        <v>1</v>
      </c>
      <c r="F66" t="s">
        <v>90</v>
      </c>
    </row>
    <row r="67" spans="1:6" ht="15" x14ac:dyDescent="0.35">
      <c r="A67" s="79">
        <f>Saldobalance!A77</f>
        <v>1427</v>
      </c>
      <c r="B67" s="79" t="str">
        <f>Saldobalance!B77</f>
        <v>DONG - EL</v>
      </c>
      <c r="C67">
        <v>1</v>
      </c>
    </row>
    <row r="68" spans="1:6" ht="15" x14ac:dyDescent="0.35">
      <c r="A68" s="79">
        <f>Saldobalance!A78</f>
        <v>1430</v>
      </c>
      <c r="B68" s="79" t="str">
        <f>Saldobalance!B78</f>
        <v>GEF</v>
      </c>
      <c r="C68">
        <v>1</v>
      </c>
    </row>
    <row r="69" spans="1:6" ht="15" x14ac:dyDescent="0.35">
      <c r="A69" s="79">
        <f>Saldobalance!A79</f>
        <v>1440</v>
      </c>
      <c r="B69" s="79" t="str">
        <f>Saldobalance!B79</f>
        <v>Renovation</v>
      </c>
      <c r="C69">
        <v>1</v>
      </c>
    </row>
    <row r="70" spans="1:6" ht="15" x14ac:dyDescent="0.35">
      <c r="A70" s="79">
        <f>Saldobalance!A80</f>
        <v>1450</v>
      </c>
      <c r="B70" s="79" t="str">
        <f>Saldobalance!B80</f>
        <v>Ejendomsskat</v>
      </c>
      <c r="C70">
        <v>1</v>
      </c>
    </row>
    <row r="71" spans="1:6" ht="15" x14ac:dyDescent="0.35">
      <c r="A71" s="79">
        <f>Saldobalance!A81</f>
        <v>1460</v>
      </c>
      <c r="B71" s="79" t="str">
        <f>Saldobalance!B81</f>
        <v>Forsikringer - 4.318.305.792</v>
      </c>
      <c r="C71">
        <v>1</v>
      </c>
    </row>
    <row r="72" spans="1:6" ht="15" x14ac:dyDescent="0.35">
      <c r="A72" s="79">
        <f>Saldobalance!A82</f>
        <v>1470</v>
      </c>
      <c r="B72" s="79" t="str">
        <f>Saldobalance!B82</f>
        <v>Udv. Vedligehold Gården</v>
      </c>
      <c r="C72">
        <v>1</v>
      </c>
    </row>
    <row r="73" spans="1:6" ht="15" x14ac:dyDescent="0.35">
      <c r="A73" s="79">
        <f>Saldobalance!A83</f>
        <v>1480</v>
      </c>
      <c r="B73" s="79" t="str">
        <f>Saldobalance!B83</f>
        <v>Indv. Vedligehold Gården</v>
      </c>
      <c r="C73">
        <v>1</v>
      </c>
    </row>
    <row r="74" spans="1:6" ht="15" x14ac:dyDescent="0.35">
      <c r="A74" s="80">
        <v>1499</v>
      </c>
      <c r="B74" s="81" t="s">
        <v>135</v>
      </c>
      <c r="C74">
        <v>3</v>
      </c>
      <c r="D74">
        <v>1400</v>
      </c>
    </row>
    <row r="75" spans="1:6" ht="15" x14ac:dyDescent="0.35">
      <c r="A75" s="77">
        <v>1996</v>
      </c>
      <c r="B75" s="78"/>
      <c r="C75">
        <v>4</v>
      </c>
    </row>
    <row r="76" spans="1:6" ht="15" x14ac:dyDescent="0.35">
      <c r="A76" s="79">
        <f>Saldobalance!A87</f>
        <v>1997</v>
      </c>
      <c r="B76" s="79" t="str">
        <f>Saldobalance!B87</f>
        <v>Diverse variable udgifter</v>
      </c>
      <c r="C76">
        <v>1</v>
      </c>
    </row>
    <row r="77" spans="1:6" ht="15" x14ac:dyDescent="0.35">
      <c r="A77" s="80">
        <v>1998</v>
      </c>
      <c r="B77" s="81" t="s">
        <v>115</v>
      </c>
      <c r="C77">
        <v>3</v>
      </c>
      <c r="D77">
        <v>1300</v>
      </c>
    </row>
    <row r="78" spans="1:6" ht="15" x14ac:dyDescent="0.35">
      <c r="A78" s="80">
        <v>1999</v>
      </c>
      <c r="B78" s="81" t="s">
        <v>116</v>
      </c>
      <c r="C78">
        <v>3</v>
      </c>
      <c r="D78">
        <v>1000</v>
      </c>
    </row>
    <row r="79" spans="1:6" ht="15" x14ac:dyDescent="0.35">
      <c r="A79" s="77">
        <v>2200</v>
      </c>
      <c r="B79" s="78" t="s">
        <v>117</v>
      </c>
      <c r="C79">
        <v>4</v>
      </c>
    </row>
    <row r="80" spans="1:6" ht="15" x14ac:dyDescent="0.35">
      <c r="A80" s="79">
        <f>Saldobalance!A92</f>
        <v>2210</v>
      </c>
      <c r="B80" s="79" t="str">
        <f>Saldobalance!B92</f>
        <v>Ejendomsskat</v>
      </c>
      <c r="C80">
        <v>1</v>
      </c>
    </row>
    <row r="81" spans="1:4" ht="15" x14ac:dyDescent="0.35">
      <c r="A81" s="79">
        <f>Saldobalance!A93</f>
        <v>2220</v>
      </c>
      <c r="B81" s="79" t="str">
        <f>Saldobalance!B93</f>
        <v>Forsikringer</v>
      </c>
      <c r="C81">
        <v>1</v>
      </c>
    </row>
    <row r="82" spans="1:4" ht="15" x14ac:dyDescent="0.35">
      <c r="A82" s="77">
        <v>2230</v>
      </c>
      <c r="B82" s="78" t="s">
        <v>257</v>
      </c>
      <c r="C82">
        <v>4</v>
      </c>
    </row>
    <row r="83" spans="1:4" ht="15" x14ac:dyDescent="0.35">
      <c r="A83" s="79">
        <f>Saldobalance!A96</f>
        <v>2231</v>
      </c>
      <c r="B83" s="79" t="str">
        <f>Saldobalance!B96</f>
        <v>7AV - Stuehuset + Østlængen</v>
      </c>
      <c r="C83">
        <v>1</v>
      </c>
    </row>
    <row r="84" spans="1:4" ht="15" x14ac:dyDescent="0.35">
      <c r="A84" s="79">
        <f>Saldobalance!A97</f>
        <v>2232</v>
      </c>
      <c r="B84" s="79" t="str">
        <f>Saldobalance!B97</f>
        <v>Komfur &amp; Ovn, ????</v>
      </c>
      <c r="C84">
        <v>1</v>
      </c>
    </row>
    <row r="85" spans="1:4" ht="15" x14ac:dyDescent="0.35">
      <c r="A85" s="79">
        <f>Saldobalance!A98</f>
        <v>2233</v>
      </c>
      <c r="B85" s="79" t="str">
        <f>Saldobalance!B98</f>
        <v>Fyrudskiftning, 1999</v>
      </c>
      <c r="C85">
        <v>1</v>
      </c>
    </row>
    <row r="86" spans="1:4" ht="15" x14ac:dyDescent="0.35">
      <c r="A86" s="79">
        <f>Saldobalance!A99</f>
        <v>2234</v>
      </c>
      <c r="B86" s="79" t="str">
        <f>Saldobalance!B99</f>
        <v>Tørretumbler, 1999</v>
      </c>
      <c r="C86">
        <v>1</v>
      </c>
    </row>
    <row r="87" spans="1:4" ht="15" x14ac:dyDescent="0.35">
      <c r="A87" s="79">
        <f>Saldobalance!A100</f>
        <v>2235</v>
      </c>
      <c r="B87" s="79" t="str">
        <f>Saldobalance!B100</f>
        <v>Vaskemaskiner, 2011</v>
      </c>
      <c r="C87">
        <v>1</v>
      </c>
    </row>
    <row r="88" spans="1:4" ht="15" x14ac:dyDescent="0.35">
      <c r="A88" s="80">
        <v>2239</v>
      </c>
      <c r="B88" s="81" t="s">
        <v>118</v>
      </c>
      <c r="C88">
        <v>3</v>
      </c>
      <c r="D88">
        <v>2230</v>
      </c>
    </row>
    <row r="89" spans="1:4" ht="15" x14ac:dyDescent="0.35">
      <c r="A89" s="77">
        <v>2250</v>
      </c>
      <c r="B89" s="78" t="s">
        <v>8</v>
      </c>
      <c r="C89">
        <v>4</v>
      </c>
    </row>
    <row r="90" spans="1:4" ht="15" x14ac:dyDescent="0.35">
      <c r="A90" s="79">
        <f>Saldobalance!A104</f>
        <v>2251</v>
      </c>
      <c r="B90" s="79" t="str">
        <f>Saldobalance!B104</f>
        <v>Nordea</v>
      </c>
      <c r="C90">
        <v>1</v>
      </c>
    </row>
    <row r="91" spans="1:4" ht="15" x14ac:dyDescent="0.35">
      <c r="A91" s="79">
        <f>Saldobalance!A105</f>
        <v>2255</v>
      </c>
      <c r="B91" s="79" t="str">
        <f>Saldobalance!B105</f>
        <v>Gevinst på valutakursdiff, debitorer</v>
      </c>
      <c r="C91">
        <v>1</v>
      </c>
    </row>
    <row r="92" spans="1:4" ht="15" x14ac:dyDescent="0.35">
      <c r="A92" s="79">
        <f>Saldobalance!A106</f>
        <v>2256</v>
      </c>
      <c r="B92" s="79" t="str">
        <f>Saldobalance!B106</f>
        <v>Gevinst på valutakursdiff, kreditorer</v>
      </c>
      <c r="C92">
        <v>1</v>
      </c>
    </row>
    <row r="93" spans="1:4" ht="15" x14ac:dyDescent="0.35">
      <c r="A93" s="79">
        <f>Saldobalance!A107</f>
        <v>2258</v>
      </c>
      <c r="B93" s="79" t="str">
        <f>Saldobalance!B107</f>
        <v>Andre renter og gebyrer</v>
      </c>
      <c r="C93">
        <v>1</v>
      </c>
    </row>
    <row r="94" spans="1:4" ht="15" x14ac:dyDescent="0.35">
      <c r="A94" s="80">
        <v>2259</v>
      </c>
      <c r="B94" s="81" t="s">
        <v>119</v>
      </c>
      <c r="C94">
        <v>3</v>
      </c>
      <c r="D94">
        <v>2250</v>
      </c>
    </row>
    <row r="95" spans="1:4" ht="15" x14ac:dyDescent="0.35">
      <c r="A95" s="77">
        <v>2260</v>
      </c>
      <c r="B95" s="78" t="s">
        <v>219</v>
      </c>
      <c r="C95">
        <v>4</v>
      </c>
    </row>
    <row r="96" spans="1:4" ht="15" x14ac:dyDescent="0.35">
      <c r="A96" s="79">
        <f>Saldobalance!A111</f>
        <v>2261</v>
      </c>
      <c r="B96" s="79" t="str">
        <f>Saldobalance!B111</f>
        <v>Renovation</v>
      </c>
      <c r="C96">
        <v>1</v>
      </c>
    </row>
    <row r="97" spans="1:4" ht="15" x14ac:dyDescent="0.35">
      <c r="A97" s="79">
        <f>Saldobalance!A112</f>
        <v>2262</v>
      </c>
      <c r="B97" s="79" t="str">
        <f>Saldobalance!B112</f>
        <v>EL</v>
      </c>
      <c r="C97">
        <v>1</v>
      </c>
    </row>
    <row r="98" spans="1:4" ht="15" x14ac:dyDescent="0.35">
      <c r="A98" s="79">
        <f>Saldobalance!A113</f>
        <v>2263</v>
      </c>
      <c r="B98" s="79" t="str">
        <f>Saldobalance!B113</f>
        <v>Varme / gas</v>
      </c>
      <c r="C98">
        <v>1</v>
      </c>
    </row>
    <row r="99" spans="1:4" ht="15" x14ac:dyDescent="0.35">
      <c r="A99" s="79">
        <f>Saldobalance!A114</f>
        <v>2264</v>
      </c>
      <c r="B99" s="79" t="str">
        <f>Saldobalance!B114</f>
        <v>Vand</v>
      </c>
      <c r="C99">
        <v>1</v>
      </c>
    </row>
    <row r="100" spans="1:4" ht="15" x14ac:dyDescent="0.35">
      <c r="A100" s="79">
        <f>Saldobalance!A115</f>
        <v>2265</v>
      </c>
      <c r="B100" s="79" t="str">
        <f>Saldobalance!B115</f>
        <v>Vask</v>
      </c>
      <c r="C100">
        <v>1</v>
      </c>
    </row>
    <row r="101" spans="1:4" ht="15" x14ac:dyDescent="0.35">
      <c r="A101" s="80">
        <v>2269</v>
      </c>
      <c r="B101" s="81" t="s">
        <v>220</v>
      </c>
      <c r="C101">
        <v>3</v>
      </c>
      <c r="D101">
        <v>2260</v>
      </c>
    </row>
    <row r="102" spans="1:4" ht="15" x14ac:dyDescent="0.35">
      <c r="A102" s="77">
        <v>2270</v>
      </c>
      <c r="B102" s="78" t="s">
        <v>10</v>
      </c>
      <c r="C102">
        <v>4</v>
      </c>
    </row>
    <row r="103" spans="1:4" ht="15" x14ac:dyDescent="0.35">
      <c r="A103" s="79">
        <f>Saldobalance!A119</f>
        <v>2271</v>
      </c>
      <c r="B103" s="79" t="str">
        <f>Saldobalance!B119</f>
        <v>Drift af bestyrelsen</v>
      </c>
      <c r="C103">
        <v>1</v>
      </c>
    </row>
    <row r="104" spans="1:4" ht="15" x14ac:dyDescent="0.35">
      <c r="A104" s="79">
        <f>Saldobalance!A120</f>
        <v>2272</v>
      </c>
      <c r="B104" s="79" t="str">
        <f>Saldobalance!B120</f>
        <v>Kontorartikler og Porto</v>
      </c>
      <c r="C104">
        <v>1</v>
      </c>
    </row>
    <row r="105" spans="1:4" ht="15" x14ac:dyDescent="0.35">
      <c r="A105" s="79">
        <f>Saldobalance!A121</f>
        <v>2273</v>
      </c>
      <c r="B105" s="79" t="str">
        <f>Saldobalance!B121</f>
        <v>Økonomisystem</v>
      </c>
      <c r="C105">
        <v>1</v>
      </c>
    </row>
    <row r="106" spans="1:4" ht="15" x14ac:dyDescent="0.35">
      <c r="A106" s="80">
        <v>2279</v>
      </c>
      <c r="B106" s="81" t="s">
        <v>120</v>
      </c>
      <c r="C106">
        <v>3</v>
      </c>
      <c r="D106">
        <v>2270</v>
      </c>
    </row>
    <row r="107" spans="1:4" ht="15" x14ac:dyDescent="0.35">
      <c r="A107" s="77">
        <v>2280</v>
      </c>
      <c r="B107" s="78" t="s">
        <v>9</v>
      </c>
      <c r="C107">
        <v>4</v>
      </c>
    </row>
    <row r="108" spans="1:4" ht="15" x14ac:dyDescent="0.35">
      <c r="A108" s="79">
        <f>Saldobalance!A125</f>
        <v>2282</v>
      </c>
      <c r="B108" s="79" t="str">
        <f>Saldobalance!B125</f>
        <v>GEF-regnskab</v>
      </c>
      <c r="C108">
        <v>1</v>
      </c>
    </row>
    <row r="109" spans="1:4" ht="15" x14ac:dyDescent="0.35">
      <c r="A109" s="79">
        <f>Saldobalance!A126</f>
        <v>2284</v>
      </c>
      <c r="B109" s="79" t="str">
        <f>Saldobalance!B126</f>
        <v>IS-regnskab</v>
      </c>
      <c r="C109">
        <v>1</v>
      </c>
    </row>
    <row r="110" spans="1:4" ht="15" x14ac:dyDescent="0.35">
      <c r="A110" s="80">
        <v>2289</v>
      </c>
      <c r="B110" s="81" t="s">
        <v>121</v>
      </c>
      <c r="C110">
        <v>3</v>
      </c>
      <c r="D110">
        <v>2280</v>
      </c>
    </row>
    <row r="111" spans="1:4" ht="15" x14ac:dyDescent="0.35">
      <c r="A111" s="77">
        <v>2290</v>
      </c>
      <c r="B111" s="78" t="s">
        <v>11</v>
      </c>
      <c r="C111">
        <v>4</v>
      </c>
    </row>
    <row r="112" spans="1:4" ht="15" x14ac:dyDescent="0.35">
      <c r="A112" s="79">
        <f>Saldobalance!A130</f>
        <v>2292</v>
      </c>
      <c r="B112" s="79" t="str">
        <f>Saldobalance!B130</f>
        <v>Tab på Bofæller</v>
      </c>
      <c r="C112">
        <v>1</v>
      </c>
    </row>
    <row r="113" spans="1:6" ht="15" x14ac:dyDescent="0.35">
      <c r="A113" s="79">
        <f>Saldobalance!A131</f>
        <v>2293</v>
      </c>
      <c r="B113" s="79" t="str">
        <f>Saldobalance!B131</f>
        <v>Øredifferencer</v>
      </c>
      <c r="C113">
        <v>1</v>
      </c>
    </row>
    <row r="114" spans="1:6" ht="15" x14ac:dyDescent="0.35">
      <c r="A114" s="79">
        <f>Saldobalance!A132</f>
        <v>2294</v>
      </c>
      <c r="B114" s="79" t="str">
        <f>Saldobalance!B132</f>
        <v>Afrundingsfejl på Sol-projekt</v>
      </c>
      <c r="C114">
        <v>1</v>
      </c>
    </row>
    <row r="115" spans="1:6" ht="15" x14ac:dyDescent="0.35">
      <c r="A115" s="79">
        <f>Saldobalance!A133</f>
        <v>2295</v>
      </c>
      <c r="B115" s="79" t="str">
        <f>Saldobalance!B133</f>
        <v>Diverse omkostninger</v>
      </c>
      <c r="C115">
        <v>1</v>
      </c>
    </row>
    <row r="116" spans="1:6" ht="15" x14ac:dyDescent="0.35">
      <c r="A116" s="80">
        <v>2296</v>
      </c>
      <c r="B116" s="81" t="s">
        <v>122</v>
      </c>
      <c r="C116">
        <v>3</v>
      </c>
      <c r="D116">
        <v>2290</v>
      </c>
    </row>
    <row r="117" spans="1:6" ht="15" x14ac:dyDescent="0.35">
      <c r="A117" s="80">
        <v>2997</v>
      </c>
      <c r="B117" s="81" t="s">
        <v>123</v>
      </c>
      <c r="C117">
        <v>3</v>
      </c>
      <c r="D117">
        <v>2200</v>
      </c>
    </row>
    <row r="118" spans="1:6" ht="15" x14ac:dyDescent="0.35">
      <c r="A118" s="80">
        <v>2998</v>
      </c>
      <c r="B118" s="81" t="s">
        <v>124</v>
      </c>
      <c r="C118">
        <v>3</v>
      </c>
      <c r="D118">
        <v>1300</v>
      </c>
    </row>
    <row r="119" spans="1:6" ht="15" x14ac:dyDescent="0.35">
      <c r="A119" s="80">
        <v>2999</v>
      </c>
      <c r="B119" s="81" t="s">
        <v>222</v>
      </c>
      <c r="C119">
        <v>3</v>
      </c>
      <c r="D119">
        <v>1000</v>
      </c>
    </row>
    <row r="120" spans="1:6" ht="15" x14ac:dyDescent="0.35">
      <c r="A120" s="77">
        <v>3000</v>
      </c>
      <c r="B120" s="78" t="s">
        <v>125</v>
      </c>
      <c r="C120">
        <v>4</v>
      </c>
    </row>
    <row r="121" spans="1:6" ht="15" x14ac:dyDescent="0.35">
      <c r="A121" s="77">
        <v>3100</v>
      </c>
      <c r="B121" s="78" t="s">
        <v>72</v>
      </c>
      <c r="C121">
        <v>4</v>
      </c>
    </row>
    <row r="122" spans="1:6" ht="15" x14ac:dyDescent="0.35">
      <c r="A122" s="79">
        <f>Saldobalance!A142</f>
        <v>3110</v>
      </c>
      <c r="B122" s="79" t="str">
        <f>Saldobalance!B142</f>
        <v>Vask opkrævet</v>
      </c>
      <c r="C122">
        <v>1</v>
      </c>
      <c r="F122" t="s">
        <v>27</v>
      </c>
    </row>
    <row r="123" spans="1:6" ht="15" x14ac:dyDescent="0.35">
      <c r="A123" s="79">
        <f>Saldobalance!A143</f>
        <v>3120</v>
      </c>
      <c r="B123" s="79" t="str">
        <f>Saldobalance!B143</f>
        <v>Vask Fælleshuset</v>
      </c>
      <c r="C123">
        <v>1</v>
      </c>
      <c r="F123" t="s">
        <v>27</v>
      </c>
    </row>
    <row r="124" spans="1:6" ht="15" x14ac:dyDescent="0.35">
      <c r="A124" s="79">
        <f>Saldobalance!A144</f>
        <v>3140</v>
      </c>
      <c r="B124" s="79" t="str">
        <f>Saldobalance!B144</f>
        <v>Vaskemidler</v>
      </c>
      <c r="C124">
        <v>1</v>
      </c>
    </row>
    <row r="125" spans="1:6" ht="15" x14ac:dyDescent="0.35">
      <c r="A125" s="79">
        <f>Saldobalance!A145</f>
        <v>3150</v>
      </c>
      <c r="B125" s="79" t="str">
        <f>Saldobalance!B145</f>
        <v>EL</v>
      </c>
      <c r="C125">
        <v>1</v>
      </c>
    </row>
    <row r="126" spans="1:6" ht="15" x14ac:dyDescent="0.35">
      <c r="A126" s="79">
        <f>Saldobalance!A146</f>
        <v>3160</v>
      </c>
      <c r="B126" s="79" t="str">
        <f>Saldobalance!B146</f>
        <v>Gas</v>
      </c>
      <c r="C126">
        <v>1</v>
      </c>
    </row>
    <row r="127" spans="1:6" ht="15" x14ac:dyDescent="0.35">
      <c r="A127" s="79">
        <f>Saldobalance!A147</f>
        <v>3170</v>
      </c>
      <c r="B127" s="79" t="str">
        <f>Saldobalance!B147</f>
        <v>Vand</v>
      </c>
      <c r="C127">
        <v>1</v>
      </c>
    </row>
    <row r="128" spans="1:6" ht="15" x14ac:dyDescent="0.35">
      <c r="A128" s="79">
        <f>Saldobalance!A148</f>
        <v>3180</v>
      </c>
      <c r="B128" s="79" t="str">
        <f>Saldobalance!B148</f>
        <v>Salttabletter</v>
      </c>
      <c r="C128">
        <v>1</v>
      </c>
    </row>
    <row r="129" spans="1:6" ht="15" x14ac:dyDescent="0.35">
      <c r="A129" s="80">
        <v>3199</v>
      </c>
      <c r="B129" s="81" t="s">
        <v>126</v>
      </c>
      <c r="C129">
        <v>3</v>
      </c>
      <c r="D129">
        <v>3100</v>
      </c>
    </row>
    <row r="130" spans="1:6" ht="15" x14ac:dyDescent="0.35">
      <c r="A130" s="77">
        <v>3200</v>
      </c>
      <c r="B130" s="78" t="s">
        <v>56</v>
      </c>
      <c r="C130">
        <v>4</v>
      </c>
    </row>
    <row r="131" spans="1:6" ht="15" x14ac:dyDescent="0.35">
      <c r="A131" s="79">
        <f>Saldobalance!A152</f>
        <v>3210</v>
      </c>
      <c r="B131" s="79" t="str">
        <f>Saldobalance!B152</f>
        <v>Vand opkrævet</v>
      </c>
      <c r="C131">
        <v>1</v>
      </c>
      <c r="F131" t="s">
        <v>27</v>
      </c>
    </row>
    <row r="132" spans="1:6" ht="15" x14ac:dyDescent="0.35">
      <c r="A132" s="79">
        <f>Saldobalance!A153</f>
        <v>3220</v>
      </c>
      <c r="B132" s="79" t="str">
        <f>Saldobalance!B153</f>
        <v>Vand Fælleshuset</v>
      </c>
      <c r="C132">
        <v>1</v>
      </c>
      <c r="F132" t="s">
        <v>27</v>
      </c>
    </row>
    <row r="133" spans="1:6" ht="15" x14ac:dyDescent="0.35">
      <c r="A133" s="79">
        <f>Saldobalance!A154</f>
        <v>3230</v>
      </c>
      <c r="B133" s="79" t="str">
        <f>Saldobalance!B154</f>
        <v>Vand vaskeriet</v>
      </c>
      <c r="C133">
        <v>1</v>
      </c>
      <c r="F133" t="s">
        <v>27</v>
      </c>
    </row>
    <row r="134" spans="1:6" ht="15" x14ac:dyDescent="0.35">
      <c r="A134" s="79">
        <f>Saldobalance!A155</f>
        <v>3240</v>
      </c>
      <c r="B134" s="79" t="str">
        <f>Saldobalance!B155</f>
        <v>Vand Fredensborg Forsyning</v>
      </c>
      <c r="C134">
        <v>1</v>
      </c>
    </row>
    <row r="135" spans="1:6" ht="15" x14ac:dyDescent="0.35">
      <c r="A135" s="80">
        <v>3299</v>
      </c>
      <c r="B135" s="81" t="s">
        <v>127</v>
      </c>
      <c r="C135">
        <v>3</v>
      </c>
      <c r="D135">
        <v>3200</v>
      </c>
    </row>
    <row r="136" spans="1:6" ht="15" x14ac:dyDescent="0.35">
      <c r="A136" s="77">
        <v>3300</v>
      </c>
      <c r="B136" s="78" t="s">
        <v>188</v>
      </c>
      <c r="C136">
        <v>4</v>
      </c>
    </row>
    <row r="137" spans="1:6" ht="15" x14ac:dyDescent="0.35">
      <c r="A137" s="79">
        <f>Saldobalance!A159</f>
        <v>3310</v>
      </c>
      <c r="B137" s="79" t="str">
        <f>Saldobalance!B159</f>
        <v>Varme opkrævet</v>
      </c>
      <c r="C137">
        <v>1</v>
      </c>
      <c r="F137" t="s">
        <v>27</v>
      </c>
    </row>
    <row r="138" spans="1:6" ht="15" x14ac:dyDescent="0.35">
      <c r="A138" s="79">
        <f>Saldobalance!A160</f>
        <v>3320</v>
      </c>
      <c r="B138" s="79" t="str">
        <f>Saldobalance!B160</f>
        <v>Varme Fælleshuset</v>
      </c>
      <c r="C138">
        <v>1</v>
      </c>
      <c r="F138" t="s">
        <v>27</v>
      </c>
    </row>
    <row r="139" spans="1:6" ht="15" x14ac:dyDescent="0.35">
      <c r="A139" s="79">
        <f>Saldobalance!A161</f>
        <v>3330</v>
      </c>
      <c r="B139" s="79" t="str">
        <f>Saldobalance!B161</f>
        <v>Gas vaskeriet</v>
      </c>
      <c r="C139">
        <v>1</v>
      </c>
      <c r="F139" t="s">
        <v>27</v>
      </c>
    </row>
    <row r="140" spans="1:6" ht="15" x14ac:dyDescent="0.35">
      <c r="A140" s="79">
        <f>Saldobalance!A162</f>
        <v>3340</v>
      </c>
      <c r="B140" s="79" t="str">
        <f>Saldobalance!B162</f>
        <v>HNG</v>
      </c>
      <c r="C140">
        <v>1</v>
      </c>
    </row>
    <row r="141" spans="1:6" ht="15" x14ac:dyDescent="0.35">
      <c r="A141" s="80">
        <v>3399</v>
      </c>
      <c r="B141" s="81" t="s">
        <v>128</v>
      </c>
      <c r="C141">
        <v>3</v>
      </c>
      <c r="D141">
        <v>3300</v>
      </c>
    </row>
    <row r="142" spans="1:6" ht="15" x14ac:dyDescent="0.35">
      <c r="A142" s="77">
        <v>3400</v>
      </c>
      <c r="B142" s="78" t="s">
        <v>15</v>
      </c>
      <c r="C142">
        <v>4</v>
      </c>
    </row>
    <row r="143" spans="1:6" ht="15" x14ac:dyDescent="0.35">
      <c r="A143" s="79">
        <f>Saldobalance!A166</f>
        <v>3410</v>
      </c>
      <c r="B143" s="79" t="str">
        <f>Saldobalance!B166</f>
        <v>Renovation opkrævet</v>
      </c>
      <c r="C143">
        <v>1</v>
      </c>
      <c r="F143" t="s">
        <v>27</v>
      </c>
    </row>
    <row r="144" spans="1:6" ht="15" x14ac:dyDescent="0.35">
      <c r="A144" s="79">
        <f>Saldobalance!A167</f>
        <v>3420</v>
      </c>
      <c r="B144" s="79" t="str">
        <f>Saldobalance!B167</f>
        <v>Renovation Fælleshuset</v>
      </c>
      <c r="C144">
        <v>1</v>
      </c>
      <c r="F144" t="s">
        <v>27</v>
      </c>
    </row>
    <row r="145" spans="1:6" ht="15" x14ac:dyDescent="0.35">
      <c r="A145" s="79">
        <f>Saldobalance!A168</f>
        <v>3430</v>
      </c>
      <c r="B145" s="79" t="str">
        <f>Saldobalance!B168</f>
        <v>Renovation Fredensborg Forsyning</v>
      </c>
      <c r="C145">
        <v>1</v>
      </c>
    </row>
    <row r="146" spans="1:6" ht="15" x14ac:dyDescent="0.35">
      <c r="A146" s="80">
        <v>3499</v>
      </c>
      <c r="B146" s="81" t="s">
        <v>129</v>
      </c>
      <c r="C146">
        <v>3</v>
      </c>
      <c r="D146">
        <v>3400</v>
      </c>
    </row>
    <row r="147" spans="1:6" ht="15" x14ac:dyDescent="0.35">
      <c r="A147" s="77">
        <v>3500</v>
      </c>
      <c r="B147" s="78" t="s">
        <v>12</v>
      </c>
      <c r="C147">
        <v>4</v>
      </c>
    </row>
    <row r="148" spans="1:6" ht="15" x14ac:dyDescent="0.35">
      <c r="A148" s="79">
        <f>Saldobalance!A172</f>
        <v>3510</v>
      </c>
      <c r="B148" s="79" t="str">
        <f>Saldobalance!B172</f>
        <v>TV opkrævet</v>
      </c>
      <c r="C148">
        <v>1</v>
      </c>
      <c r="F148" t="s">
        <v>27</v>
      </c>
    </row>
    <row r="149" spans="1:6" ht="15" x14ac:dyDescent="0.35">
      <c r="A149" s="79">
        <f>Saldobalance!A173</f>
        <v>3520</v>
      </c>
      <c r="B149" s="79" t="str">
        <f>Saldobalance!B173</f>
        <v>TV Fælleshuset</v>
      </c>
      <c r="C149">
        <v>1</v>
      </c>
      <c r="F149" t="s">
        <v>27</v>
      </c>
    </row>
    <row r="150" spans="1:6" ht="15" x14ac:dyDescent="0.35">
      <c r="A150" s="79">
        <f>Saldobalance!A174</f>
        <v>3530</v>
      </c>
      <c r="B150" s="79" t="str">
        <f>Saldobalance!B174</f>
        <v>YouSee og andre</v>
      </c>
      <c r="C150">
        <v>1</v>
      </c>
    </row>
    <row r="151" spans="1:6" ht="15" x14ac:dyDescent="0.35">
      <c r="A151" s="80">
        <v>3599</v>
      </c>
      <c r="B151" s="81" t="s">
        <v>130</v>
      </c>
      <c r="C151">
        <v>3</v>
      </c>
      <c r="D151">
        <v>3500</v>
      </c>
    </row>
    <row r="152" spans="1:6" ht="15" x14ac:dyDescent="0.35">
      <c r="A152" s="77">
        <v>3600</v>
      </c>
      <c r="B152" s="78" t="s">
        <v>5</v>
      </c>
      <c r="C152">
        <v>4</v>
      </c>
    </row>
    <row r="153" spans="1:6" ht="15" x14ac:dyDescent="0.35">
      <c r="A153" s="79">
        <f>Saldobalance!A178</f>
        <v>3610</v>
      </c>
      <c r="B153" s="79" t="str">
        <f>Saldobalance!B178</f>
        <v>Øl opkrævet</v>
      </c>
      <c r="C153">
        <v>1</v>
      </c>
      <c r="F153" t="s">
        <v>27</v>
      </c>
    </row>
    <row r="154" spans="1:6" ht="15" x14ac:dyDescent="0.35">
      <c r="A154" s="79">
        <f>Saldobalance!A179</f>
        <v>3620</v>
      </c>
      <c r="B154" s="79" t="str">
        <f>Saldobalance!B179</f>
        <v>Øl Fælleshuset</v>
      </c>
      <c r="C154">
        <v>1</v>
      </c>
      <c r="F154" t="s">
        <v>27</v>
      </c>
    </row>
    <row r="155" spans="1:6" ht="15" x14ac:dyDescent="0.35">
      <c r="A155" s="79">
        <f>Saldobalance!A180</f>
        <v>3625</v>
      </c>
      <c r="B155" s="79" t="str">
        <f>Saldobalance!B180</f>
        <v>Regulering af lagerbeholdning</v>
      </c>
      <c r="C155">
        <v>1</v>
      </c>
    </row>
    <row r="156" spans="1:6" ht="15" x14ac:dyDescent="0.35">
      <c r="A156" s="79">
        <f>Saldobalance!A181</f>
        <v>3630</v>
      </c>
      <c r="B156" s="79" t="str">
        <f>Saldobalance!B181</f>
        <v>Tuborg og andre</v>
      </c>
      <c r="C156">
        <v>1</v>
      </c>
    </row>
    <row r="157" spans="1:6" ht="15" x14ac:dyDescent="0.35">
      <c r="A157" s="80">
        <v>3699</v>
      </c>
      <c r="B157" s="81" t="s">
        <v>131</v>
      </c>
      <c r="C157">
        <v>3</v>
      </c>
      <c r="D157">
        <v>3600</v>
      </c>
    </row>
    <row r="158" spans="1:6" ht="15" x14ac:dyDescent="0.35">
      <c r="A158" s="77">
        <v>3700</v>
      </c>
      <c r="B158" s="78" t="s">
        <v>132</v>
      </c>
      <c r="C158">
        <v>4</v>
      </c>
    </row>
    <row r="159" spans="1:6" ht="15" x14ac:dyDescent="0.35">
      <c r="A159" s="79">
        <f>Saldobalance!A185</f>
        <v>3710</v>
      </c>
      <c r="B159" s="79" t="str">
        <f>Saldobalance!B185</f>
        <v>Mælk opkrævet</v>
      </c>
      <c r="C159">
        <v>1</v>
      </c>
      <c r="F159" t="s">
        <v>27</v>
      </c>
    </row>
    <row r="160" spans="1:6" ht="15" x14ac:dyDescent="0.35">
      <c r="A160" s="79">
        <f>Saldobalance!A186</f>
        <v>3720</v>
      </c>
      <c r="B160" s="79" t="str">
        <f>Saldobalance!B186</f>
        <v>Øllingegård</v>
      </c>
      <c r="C160">
        <v>1</v>
      </c>
    </row>
    <row r="161" spans="1:8" ht="15" x14ac:dyDescent="0.35">
      <c r="A161" s="80">
        <v>3799</v>
      </c>
      <c r="B161" s="81" t="s">
        <v>133</v>
      </c>
      <c r="C161">
        <v>3</v>
      </c>
      <c r="D161">
        <v>3700</v>
      </c>
    </row>
    <row r="162" spans="1:8" ht="15" x14ac:dyDescent="0.35">
      <c r="A162" s="77">
        <v>3900</v>
      </c>
      <c r="B162" s="78" t="s">
        <v>208</v>
      </c>
      <c r="C162">
        <v>4</v>
      </c>
    </row>
    <row r="163" spans="1:8" ht="15" x14ac:dyDescent="0.35">
      <c r="A163" s="79">
        <f>Saldobalance!A190</f>
        <v>3910</v>
      </c>
      <c r="B163" s="79" t="str">
        <f>Saldobalance!B190</f>
        <v>Kultur opkrævet</v>
      </c>
      <c r="C163">
        <v>1</v>
      </c>
      <c r="F163" t="s">
        <v>27</v>
      </c>
    </row>
    <row r="164" spans="1:8" ht="15" x14ac:dyDescent="0.35">
      <c r="A164" s="79">
        <f>Saldobalance!A191</f>
        <v>3920</v>
      </c>
      <c r="B164" s="79" t="str">
        <f>Saldobalance!B191</f>
        <v>Kultur udlæg</v>
      </c>
      <c r="C164">
        <v>1</v>
      </c>
    </row>
    <row r="165" spans="1:8" ht="15" x14ac:dyDescent="0.35">
      <c r="A165" s="80">
        <v>3999</v>
      </c>
      <c r="B165" s="81" t="s">
        <v>212</v>
      </c>
      <c r="C165">
        <v>3</v>
      </c>
      <c r="D165">
        <v>3900</v>
      </c>
    </row>
    <row r="166" spans="1:8" ht="15" x14ac:dyDescent="0.35">
      <c r="A166" s="80">
        <v>4900</v>
      </c>
      <c r="B166" s="81" t="s">
        <v>209</v>
      </c>
      <c r="C166">
        <v>3</v>
      </c>
      <c r="D166">
        <v>3000</v>
      </c>
    </row>
    <row r="167" spans="1:8" ht="15" x14ac:dyDescent="0.35">
      <c r="A167" s="80">
        <v>4990</v>
      </c>
      <c r="B167" s="81" t="s">
        <v>136</v>
      </c>
      <c r="C167">
        <v>3</v>
      </c>
      <c r="D167">
        <v>1000</v>
      </c>
    </row>
    <row r="168" spans="1:8" ht="15" x14ac:dyDescent="0.35">
      <c r="A168" s="77">
        <v>5000</v>
      </c>
      <c r="B168" s="78" t="s">
        <v>137</v>
      </c>
      <c r="C168">
        <v>5</v>
      </c>
    </row>
    <row r="169" spans="1:8" ht="15" x14ac:dyDescent="0.35">
      <c r="A169" s="77">
        <v>5010</v>
      </c>
      <c r="B169" s="78" t="s">
        <v>138</v>
      </c>
      <c r="C169">
        <v>4</v>
      </c>
    </row>
    <row r="170" spans="1:8" ht="15" x14ac:dyDescent="0.35">
      <c r="A170" s="77">
        <v>5100</v>
      </c>
      <c r="B170" s="78" t="s">
        <v>139</v>
      </c>
      <c r="C170">
        <v>4</v>
      </c>
    </row>
    <row r="171" spans="1:8" ht="15" x14ac:dyDescent="0.35">
      <c r="A171" s="79">
        <f>Saldobalance!A201</f>
        <v>5101</v>
      </c>
      <c r="B171" s="79" t="str">
        <f>Saldobalance!B201</f>
        <v>Tørretumbler, 1999</v>
      </c>
      <c r="C171">
        <v>2</v>
      </c>
    </row>
    <row r="172" spans="1:8" ht="15" x14ac:dyDescent="0.35">
      <c r="A172" s="79">
        <f>Saldobalance!A202</f>
        <v>5102</v>
      </c>
      <c r="B172" s="79" t="str">
        <f>Saldobalance!B202</f>
        <v>Vaskemaskiner, 2011</v>
      </c>
      <c r="C172">
        <v>2</v>
      </c>
    </row>
    <row r="173" spans="1:8" ht="15" x14ac:dyDescent="0.35">
      <c r="A173" s="79">
        <f>Saldobalance!A203</f>
        <v>5104</v>
      </c>
      <c r="B173" s="79" t="str">
        <f>Saldobalance!B203</f>
        <v>Nye fyr, 1999</v>
      </c>
      <c r="C173">
        <v>2</v>
      </c>
      <c r="H173" s="64"/>
    </row>
    <row r="174" spans="1:8" ht="15" x14ac:dyDescent="0.35">
      <c r="A174" s="79">
        <f>Saldobalance!A204</f>
        <v>5106</v>
      </c>
      <c r="B174" s="79" t="str">
        <f>Saldobalance!B204</f>
        <v>Nyt Køkken</v>
      </c>
      <c r="C174">
        <v>2</v>
      </c>
      <c r="H174" s="64"/>
    </row>
    <row r="175" spans="1:8" ht="15" x14ac:dyDescent="0.35">
      <c r="A175" s="79">
        <f>Saldobalance!A205</f>
        <v>5108</v>
      </c>
      <c r="B175" s="79" t="str">
        <f>Saldobalance!B205</f>
        <v>Gl. RKD-lån</v>
      </c>
      <c r="C175">
        <v>2</v>
      </c>
      <c r="H175" s="64"/>
    </row>
    <row r="176" spans="1:8" ht="15" x14ac:dyDescent="0.35">
      <c r="A176" s="80">
        <v>5199</v>
      </c>
      <c r="B176" s="81" t="s">
        <v>141</v>
      </c>
      <c r="C176">
        <v>3</v>
      </c>
      <c r="D176">
        <v>5100</v>
      </c>
    </row>
    <row r="177" spans="1:4" ht="15" x14ac:dyDescent="0.35">
      <c r="A177" s="77">
        <v>5200</v>
      </c>
      <c r="B177" s="78" t="s">
        <v>142</v>
      </c>
      <c r="C177">
        <v>4</v>
      </c>
    </row>
    <row r="178" spans="1:4" ht="15" x14ac:dyDescent="0.35">
      <c r="A178" s="79">
        <f>Saldobalance!A209</f>
        <v>5221</v>
      </c>
      <c r="B178" s="79" t="str">
        <f>Saldobalance!B209</f>
        <v>Landbrugsjord - 7 B</v>
      </c>
      <c r="C178">
        <v>2</v>
      </c>
    </row>
    <row r="179" spans="1:4" ht="15" x14ac:dyDescent="0.35">
      <c r="A179" s="79">
        <f>Saldobalance!A210</f>
        <v>5222</v>
      </c>
      <c r="B179" s="79" t="str">
        <f>Saldobalance!B210</f>
        <v>Stuehus + Østlængen - 7 AV</v>
      </c>
      <c r="C179">
        <v>2</v>
      </c>
    </row>
    <row r="180" spans="1:4" ht="15" x14ac:dyDescent="0.35">
      <c r="A180" s="79">
        <f>Saldobalance!A211</f>
        <v>5223</v>
      </c>
      <c r="B180" s="79" t="str">
        <f>Saldobalance!B211</f>
        <v>Fælleshus - 9 N</v>
      </c>
      <c r="C180">
        <v>2</v>
      </c>
    </row>
    <row r="181" spans="1:4" ht="15" x14ac:dyDescent="0.35">
      <c r="A181" s="80">
        <v>5299</v>
      </c>
      <c r="B181" s="81" t="s">
        <v>143</v>
      </c>
      <c r="C181">
        <v>3</v>
      </c>
      <c r="D181">
        <v>5200</v>
      </c>
    </row>
    <row r="182" spans="1:4" ht="15" x14ac:dyDescent="0.35">
      <c r="A182" s="79">
        <f>Saldobalance!A213</f>
        <v>5300</v>
      </c>
      <c r="B182" s="79" t="str">
        <f>Saldobalance!B213</f>
        <v>GEF tilgode hos I/S</v>
      </c>
      <c r="C182">
        <v>2</v>
      </c>
    </row>
    <row r="183" spans="1:4" ht="15" x14ac:dyDescent="0.35">
      <c r="A183" s="80">
        <v>5399</v>
      </c>
      <c r="B183" s="81" t="s">
        <v>145</v>
      </c>
      <c r="C183">
        <v>3</v>
      </c>
      <c r="D183">
        <v>5010</v>
      </c>
    </row>
    <row r="184" spans="1:4" ht="15" x14ac:dyDescent="0.35">
      <c r="A184" s="77">
        <v>5400</v>
      </c>
      <c r="B184" s="78" t="s">
        <v>146</v>
      </c>
      <c r="C184">
        <v>4</v>
      </c>
    </row>
    <row r="185" spans="1:4" ht="15" x14ac:dyDescent="0.35">
      <c r="A185" s="77">
        <v>5410</v>
      </c>
      <c r="B185" s="78" t="s">
        <v>147</v>
      </c>
      <c r="C185">
        <v>4</v>
      </c>
    </row>
    <row r="186" spans="1:4" ht="15" x14ac:dyDescent="0.35">
      <c r="A186" s="79">
        <f>Saldobalance!A219</f>
        <v>5420</v>
      </c>
      <c r="B186" s="79" t="str">
        <f>Saldobalance!B219</f>
        <v>Tilgodehavender hos Bofæller</v>
      </c>
      <c r="C186">
        <v>2</v>
      </c>
    </row>
    <row r="187" spans="1:4" ht="15" x14ac:dyDescent="0.35">
      <c r="A187" s="80">
        <v>5499</v>
      </c>
      <c r="B187" s="81" t="s">
        <v>148</v>
      </c>
      <c r="C187">
        <v>3</v>
      </c>
      <c r="D187">
        <v>5410</v>
      </c>
    </row>
    <row r="188" spans="1:4" ht="15" x14ac:dyDescent="0.35">
      <c r="A188" s="77">
        <v>5500</v>
      </c>
      <c r="B188" s="78" t="s">
        <v>149</v>
      </c>
      <c r="C188">
        <v>4</v>
      </c>
    </row>
    <row r="189" spans="1:4" ht="15" x14ac:dyDescent="0.35">
      <c r="A189" s="79">
        <f>Saldobalance!A223</f>
        <v>5519</v>
      </c>
      <c r="B189" s="79" t="str">
        <f>Saldobalance!B223</f>
        <v>Forudbetalte poster</v>
      </c>
      <c r="C189">
        <v>2</v>
      </c>
    </row>
    <row r="190" spans="1:4" ht="15" x14ac:dyDescent="0.35">
      <c r="A190" s="79">
        <f>Saldobalance!A224</f>
        <v>5520</v>
      </c>
      <c r="B190" s="79" t="str">
        <f>Saldobalance!B224</f>
        <v>Forskud fåregruppen</v>
      </c>
      <c r="C190">
        <v>2</v>
      </c>
    </row>
    <row r="191" spans="1:4" ht="15" x14ac:dyDescent="0.35">
      <c r="A191" s="79">
        <f>Saldobalance!A225</f>
        <v>5530</v>
      </c>
      <c r="B191" s="79" t="str">
        <f>Saldobalance!B225</f>
        <v>Depositum mælkeordningen - udgået</v>
      </c>
      <c r="C191">
        <v>2</v>
      </c>
    </row>
    <row r="192" spans="1:4" ht="15" x14ac:dyDescent="0.35">
      <c r="A192" s="79">
        <f>Saldobalance!A226</f>
        <v>5550</v>
      </c>
      <c r="B192" s="79" t="str">
        <f>Saldobalance!B226</f>
        <v>Vandregnskab</v>
      </c>
      <c r="C192">
        <v>2</v>
      </c>
    </row>
    <row r="193" spans="1:4" ht="15" x14ac:dyDescent="0.35">
      <c r="A193" s="79">
        <f>Saldobalance!A227</f>
        <v>5560</v>
      </c>
      <c r="B193" s="79" t="str">
        <f>Saldobalance!B227</f>
        <v>Varmeregnskab</v>
      </c>
      <c r="C193">
        <v>2</v>
      </c>
    </row>
    <row r="194" spans="1:4" ht="15" x14ac:dyDescent="0.35">
      <c r="A194" s="79">
        <f>Saldobalance!A228</f>
        <v>5570</v>
      </c>
      <c r="B194" s="79" t="str">
        <f>Saldobalance!B228</f>
        <v>Fadøl - lagerbeholdning</v>
      </c>
      <c r="C194">
        <v>2</v>
      </c>
    </row>
    <row r="195" spans="1:4" ht="15" x14ac:dyDescent="0.35">
      <c r="A195" s="79">
        <f>Saldobalance!A229</f>
        <v>5580</v>
      </c>
      <c r="B195" s="79" t="str">
        <f>Saldobalance!B229</f>
        <v>Fåreprodukter- lagerbeholdning</v>
      </c>
      <c r="C195">
        <v>2</v>
      </c>
    </row>
    <row r="196" spans="1:4" ht="15" x14ac:dyDescent="0.35">
      <c r="A196" s="79">
        <f>Saldobalance!A230</f>
        <v>5582</v>
      </c>
      <c r="B196" s="79" t="str">
        <f>Saldobalance!B230</f>
        <v>Hegn og hus/får</v>
      </c>
      <c r="C196">
        <v>2</v>
      </c>
    </row>
    <row r="197" spans="1:4" ht="15" x14ac:dyDescent="0.35">
      <c r="A197" s="79">
        <f>Saldobalance!A231</f>
        <v>5584</v>
      </c>
      <c r="B197" s="79" t="str">
        <f>Saldobalance!B231</f>
        <v>Besætning/får</v>
      </c>
      <c r="C197">
        <v>2</v>
      </c>
    </row>
    <row r="198" spans="1:4" ht="15" x14ac:dyDescent="0.35">
      <c r="A198" s="80">
        <v>5599</v>
      </c>
      <c r="B198" s="81" t="s">
        <v>155</v>
      </c>
      <c r="C198">
        <v>3</v>
      </c>
      <c r="D198">
        <v>5500</v>
      </c>
    </row>
    <row r="199" spans="1:4" ht="15" x14ac:dyDescent="0.35">
      <c r="A199" s="77">
        <v>5900</v>
      </c>
      <c r="B199" s="78" t="s">
        <v>156</v>
      </c>
      <c r="C199">
        <v>4</v>
      </c>
    </row>
    <row r="200" spans="1:4" ht="15" x14ac:dyDescent="0.35">
      <c r="A200" s="79">
        <f>Saldobalance!A236</f>
        <v>5910</v>
      </c>
      <c r="B200" s="79" t="str">
        <f>Saldobalance!B236</f>
        <v>Kontant</v>
      </c>
      <c r="C200">
        <v>2</v>
      </c>
    </row>
    <row r="201" spans="1:4" ht="15" x14ac:dyDescent="0.35">
      <c r="A201" s="79">
        <f>Saldobalance!A237</f>
        <v>5920</v>
      </c>
      <c r="B201" s="79" t="str">
        <f>Saldobalance!B237</f>
        <v>Finansbanken 1122183</v>
      </c>
      <c r="C201">
        <v>2</v>
      </c>
    </row>
    <row r="202" spans="1:4" ht="15" x14ac:dyDescent="0.35">
      <c r="A202" s="79">
        <f>Saldobalance!A238</f>
        <v>5930</v>
      </c>
      <c r="B202" s="79" t="str">
        <f>Saldobalance!B238</f>
        <v>Jyske Bank 135684-2 - Udgået</v>
      </c>
      <c r="C202">
        <v>2</v>
      </c>
    </row>
    <row r="203" spans="1:4" ht="15" x14ac:dyDescent="0.35">
      <c r="A203" s="79">
        <f>Saldobalance!A239</f>
        <v>5940</v>
      </c>
      <c r="B203" s="79" t="str">
        <f>Saldobalance!B239</f>
        <v>Nordea - 3495871427</v>
      </c>
      <c r="C203">
        <v>2</v>
      </c>
    </row>
    <row r="204" spans="1:4" ht="15" x14ac:dyDescent="0.35">
      <c r="A204" s="80">
        <v>5960</v>
      </c>
      <c r="B204" s="81" t="s">
        <v>158</v>
      </c>
      <c r="C204">
        <v>3</v>
      </c>
      <c r="D204">
        <v>5900</v>
      </c>
    </row>
    <row r="205" spans="1:4" ht="15" x14ac:dyDescent="0.35">
      <c r="A205" s="80">
        <v>5990</v>
      </c>
      <c r="B205" s="81" t="s">
        <v>160</v>
      </c>
      <c r="C205">
        <v>3</v>
      </c>
      <c r="D205">
        <v>5400</v>
      </c>
    </row>
    <row r="206" spans="1:4" ht="15" x14ac:dyDescent="0.35">
      <c r="A206" s="80">
        <v>5998</v>
      </c>
      <c r="B206" s="81" t="s">
        <v>159</v>
      </c>
      <c r="C206">
        <v>3</v>
      </c>
      <c r="D206">
        <v>5000</v>
      </c>
    </row>
    <row r="207" spans="1:4" ht="15" x14ac:dyDescent="0.35">
      <c r="A207" s="77">
        <v>6000</v>
      </c>
      <c r="B207" s="78" t="s">
        <v>161</v>
      </c>
      <c r="C207">
        <v>5</v>
      </c>
    </row>
    <row r="208" spans="1:4" ht="15" x14ac:dyDescent="0.35">
      <c r="A208" s="77">
        <v>6100</v>
      </c>
      <c r="B208" s="78" t="s">
        <v>162</v>
      </c>
      <c r="C208">
        <v>4</v>
      </c>
    </row>
    <row r="209" spans="1:4" ht="15" x14ac:dyDescent="0.35">
      <c r="A209" s="79">
        <f>Saldobalance!A247</f>
        <v>6110</v>
      </c>
      <c r="B209" s="79" t="str">
        <f>Saldobalance!B247</f>
        <v>Egenkapital primo</v>
      </c>
      <c r="C209">
        <v>2</v>
      </c>
    </row>
    <row r="210" spans="1:4" ht="15" x14ac:dyDescent="0.35">
      <c r="A210" s="80">
        <v>6112</v>
      </c>
      <c r="B210" s="81" t="s">
        <v>164</v>
      </c>
      <c r="C210">
        <v>6</v>
      </c>
      <c r="D210" t="s">
        <v>165</v>
      </c>
    </row>
    <row r="211" spans="1:4" ht="15" x14ac:dyDescent="0.35">
      <c r="A211" s="79">
        <f>Saldobalance!A249</f>
        <v>6130</v>
      </c>
      <c r="B211" s="79" t="str">
        <f>Saldobalance!B249</f>
        <v>Årets reguleringer af egenkapitalen</v>
      </c>
      <c r="C211">
        <v>2</v>
      </c>
    </row>
    <row r="212" spans="1:4" ht="15" x14ac:dyDescent="0.35">
      <c r="A212" s="80">
        <v>6199</v>
      </c>
      <c r="B212" s="81" t="s">
        <v>166</v>
      </c>
      <c r="C212">
        <v>6</v>
      </c>
      <c r="D212" t="s">
        <v>167</v>
      </c>
    </row>
    <row r="213" spans="1:4" ht="15" x14ac:dyDescent="0.35">
      <c r="A213" s="77">
        <v>6300</v>
      </c>
      <c r="B213" s="78" t="s">
        <v>168</v>
      </c>
      <c r="C213">
        <v>4</v>
      </c>
    </row>
    <row r="214" spans="1:4" ht="15" x14ac:dyDescent="0.35">
      <c r="A214" s="79">
        <f>Saldobalance!A253</f>
        <v>6320</v>
      </c>
      <c r="B214" s="79" t="str">
        <f>Saldobalance!B253</f>
        <v>Opsparing</v>
      </c>
      <c r="C214">
        <v>2</v>
      </c>
    </row>
    <row r="215" spans="1:4" ht="15" x14ac:dyDescent="0.35">
      <c r="A215" s="79">
        <f>Saldobalance!A254</f>
        <v>6340</v>
      </c>
      <c r="B215" s="79" t="str">
        <f>Saldobalance!B254</f>
        <v>Huslejedepositum - Hus 26A</v>
      </c>
      <c r="C215">
        <v>2</v>
      </c>
    </row>
    <row r="216" spans="1:4" ht="15" x14ac:dyDescent="0.35">
      <c r="A216" s="79">
        <f>Saldobalance!A255</f>
        <v>6345</v>
      </c>
      <c r="B216" s="79" t="str">
        <f>Saldobalance!B255</f>
        <v>Huslejedepositum - Hus 26C</v>
      </c>
      <c r="C216">
        <v>2</v>
      </c>
    </row>
    <row r="217" spans="1:4" ht="15" x14ac:dyDescent="0.35">
      <c r="A217" s="79">
        <f>Saldobalance!A256</f>
        <v>6350</v>
      </c>
      <c r="B217" s="79" t="str">
        <f>Saldobalance!B256</f>
        <v>Indvendig vedligehold - Hus 26A</v>
      </c>
      <c r="C217">
        <v>2</v>
      </c>
    </row>
    <row r="218" spans="1:4" ht="15" x14ac:dyDescent="0.35">
      <c r="A218" s="79">
        <f>Saldobalance!A257</f>
        <v>6360</v>
      </c>
      <c r="B218" s="79" t="str">
        <f>Saldobalance!B257</f>
        <v>Indvendig vedligehold - Hus 26C</v>
      </c>
      <c r="C218">
        <v>2</v>
      </c>
    </row>
    <row r="219" spans="1:4" ht="15" x14ac:dyDescent="0.35">
      <c r="A219" s="79">
        <f>Saldobalance!A258</f>
        <v>6380</v>
      </c>
      <c r="B219" s="79" t="str">
        <f>Saldobalance!B258</f>
        <v>Øvrige hensættelser</v>
      </c>
      <c r="C219">
        <v>2</v>
      </c>
    </row>
    <row r="220" spans="1:4" ht="15" x14ac:dyDescent="0.35">
      <c r="A220" s="80">
        <v>6399</v>
      </c>
      <c r="B220" s="81" t="s">
        <v>170</v>
      </c>
      <c r="C220">
        <v>3</v>
      </c>
      <c r="D220">
        <v>6300</v>
      </c>
    </row>
    <row r="221" spans="1:4" ht="15" x14ac:dyDescent="0.35">
      <c r="A221" s="77">
        <v>6600</v>
      </c>
      <c r="B221" s="78" t="s">
        <v>198</v>
      </c>
      <c r="C221">
        <v>4</v>
      </c>
    </row>
    <row r="222" spans="1:4" ht="15" x14ac:dyDescent="0.35">
      <c r="A222" s="77">
        <v>6605</v>
      </c>
      <c r="B222" s="78" t="s">
        <v>171</v>
      </c>
      <c r="C222">
        <v>4</v>
      </c>
    </row>
    <row r="223" spans="1:4" ht="15" x14ac:dyDescent="0.35">
      <c r="A223" s="79">
        <f>Saldobalance!A264</f>
        <v>6620</v>
      </c>
      <c r="B223" s="79" t="str">
        <f>Saldobalance!B264</f>
        <v>Prioritetslån RKD</v>
      </c>
      <c r="C223">
        <v>2</v>
      </c>
    </row>
    <row r="224" spans="1:4" ht="15" x14ac:dyDescent="0.35">
      <c r="A224" s="79">
        <f>Saldobalance!A265</f>
        <v>6630</v>
      </c>
      <c r="B224" s="79" t="str">
        <f>Saldobalance!B265</f>
        <v>Finansbanken 1243045 - fyrudskiftning</v>
      </c>
      <c r="C224">
        <v>2</v>
      </c>
    </row>
    <row r="225" spans="1:4" ht="15" x14ac:dyDescent="0.35">
      <c r="A225" s="79">
        <f>Saldobalance!A266</f>
        <v>6640</v>
      </c>
      <c r="B225" s="79" t="str">
        <f>Saldobalance!B266</f>
        <v>Finansbanken 1234291 - komfur &amp; ovn</v>
      </c>
      <c r="C225">
        <v>2</v>
      </c>
    </row>
    <row r="226" spans="1:4" ht="15" x14ac:dyDescent="0.35">
      <c r="A226" s="79">
        <f>Saldobalance!A267</f>
        <v>6650</v>
      </c>
      <c r="B226" s="79" t="str">
        <f>Saldobalance!B267</f>
        <v>Finansbanken 1328083 - Tørretumbler</v>
      </c>
      <c r="C226">
        <v>2</v>
      </c>
    </row>
    <row r="227" spans="1:4" ht="15" x14ac:dyDescent="0.35">
      <c r="A227" s="79">
        <f>Saldobalance!A268</f>
        <v>6660</v>
      </c>
      <c r="B227" s="79" t="str">
        <f>Saldobalance!B268</f>
        <v>Nordea Prioritet</v>
      </c>
      <c r="C227">
        <v>2</v>
      </c>
    </row>
    <row r="228" spans="1:4" ht="15" x14ac:dyDescent="0.35">
      <c r="A228" s="80">
        <v>6799</v>
      </c>
      <c r="B228" s="81" t="s">
        <v>173</v>
      </c>
      <c r="C228">
        <v>3</v>
      </c>
      <c r="D228">
        <v>6605</v>
      </c>
    </row>
    <row r="229" spans="1:4" ht="15" x14ac:dyDescent="0.35">
      <c r="A229" s="77">
        <v>6900</v>
      </c>
      <c r="B229" s="78" t="s">
        <v>174</v>
      </c>
      <c r="C229">
        <v>4</v>
      </c>
    </row>
    <row r="230" spans="1:4" ht="15" x14ac:dyDescent="0.35">
      <c r="A230" s="79">
        <f>Saldobalance!A272</f>
        <v>6905</v>
      </c>
      <c r="B230" s="79" t="str">
        <f>Saldobalance!B272</f>
        <v>Øvrig gæld</v>
      </c>
      <c r="C230">
        <v>2</v>
      </c>
    </row>
    <row r="231" spans="1:4" ht="15" x14ac:dyDescent="0.35">
      <c r="A231" s="79">
        <f>Saldobalance!A273</f>
        <v>6910</v>
      </c>
      <c r="B231" s="79" t="str">
        <f>Saldobalance!B273</f>
        <v>Skyldige omkostninger</v>
      </c>
      <c r="C231">
        <v>2</v>
      </c>
    </row>
    <row r="232" spans="1:4" ht="15" x14ac:dyDescent="0.35">
      <c r="A232" s="79">
        <f>Saldobalance!A274</f>
        <v>6920</v>
      </c>
      <c r="B232" s="79" t="str">
        <f>Saldobalance!B274</f>
        <v>I/S gæld til GEF</v>
      </c>
      <c r="C232">
        <v>2</v>
      </c>
    </row>
    <row r="233" spans="1:4" ht="15" x14ac:dyDescent="0.35">
      <c r="A233" s="80">
        <v>6999</v>
      </c>
      <c r="B233" s="81" t="s">
        <v>177</v>
      </c>
      <c r="C233">
        <v>3</v>
      </c>
      <c r="D233">
        <v>6900</v>
      </c>
    </row>
    <row r="234" spans="1:4" ht="15" x14ac:dyDescent="0.35">
      <c r="A234" s="80">
        <v>7999</v>
      </c>
      <c r="B234" s="81" t="s">
        <v>178</v>
      </c>
      <c r="C234">
        <v>3</v>
      </c>
      <c r="D234">
        <v>6600</v>
      </c>
    </row>
    <row r="235" spans="1:4" ht="15" x14ac:dyDescent="0.35">
      <c r="A235" s="80">
        <v>8999</v>
      </c>
      <c r="B235" s="81" t="s">
        <v>179</v>
      </c>
      <c r="C235">
        <v>6</v>
      </c>
      <c r="D235" t="s">
        <v>180</v>
      </c>
    </row>
    <row r="236" spans="1:4" ht="15" x14ac:dyDescent="0.35">
      <c r="A236" s="79">
        <f>Saldobalance!A278</f>
        <v>9900</v>
      </c>
      <c r="B236" s="79" t="str">
        <f>Saldobalance!B278</f>
        <v>Analyse/fejlkonto</v>
      </c>
      <c r="C236">
        <v>2</v>
      </c>
    </row>
    <row r="237" spans="1:4" ht="15" x14ac:dyDescent="0.35">
      <c r="A237" s="80">
        <v>9990</v>
      </c>
      <c r="B237" s="81" t="s">
        <v>182</v>
      </c>
      <c r="C237">
        <v>3</v>
      </c>
      <c r="D237">
        <v>1000</v>
      </c>
    </row>
  </sheetData>
  <phoneticPr fontId="11" type="noConversion"/>
  <pageMargins left="0.75" right="0.75" top="1" bottom="1" header="0" footer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F4" sqref="F4:F6"/>
    </sheetView>
  </sheetViews>
  <sheetFormatPr defaultRowHeight="13.2" x14ac:dyDescent="0.25"/>
  <cols>
    <col min="2" max="2" width="19.33203125" bestFit="1" customWidth="1"/>
    <col min="3" max="3" width="14.33203125" customWidth="1"/>
    <col min="4" max="4" width="6" customWidth="1"/>
    <col min="5" max="5" width="9" customWidth="1"/>
    <col min="6" max="6" width="16.88671875" customWidth="1"/>
    <col min="7" max="7" width="16.44140625" customWidth="1"/>
    <col min="8" max="8" width="6" customWidth="1"/>
    <col min="9" max="9" width="36.88671875" customWidth="1"/>
  </cols>
  <sheetData>
    <row r="1" spans="1:9" ht="15.6" x14ac:dyDescent="0.3">
      <c r="A1" s="117" t="s">
        <v>282</v>
      </c>
    </row>
    <row r="3" spans="1:9" s="159" customFormat="1" ht="15" customHeight="1" x14ac:dyDescent="0.25">
      <c r="A3" s="159" t="s">
        <v>284</v>
      </c>
      <c r="B3" s="160" t="s">
        <v>139</v>
      </c>
      <c r="C3" s="159" t="s">
        <v>280</v>
      </c>
      <c r="E3" s="159" t="s">
        <v>283</v>
      </c>
      <c r="F3" s="159" t="s">
        <v>279</v>
      </c>
      <c r="G3" s="159" t="s">
        <v>281</v>
      </c>
    </row>
    <row r="4" spans="1:9" x14ac:dyDescent="0.25">
      <c r="A4" s="67">
        <v>5101</v>
      </c>
      <c r="B4" s="66" t="s">
        <v>206</v>
      </c>
      <c r="C4" s="68">
        <f>1094.58+'Bilag 310 Afdragsprofil'!H7</f>
        <v>2168.3664876521862</v>
      </c>
      <c r="E4" s="67">
        <v>6650</v>
      </c>
      <c r="F4" s="68">
        <f>'Bilag 310 Afdragsprofil'!D7</f>
        <v>23623.302728348099</v>
      </c>
      <c r="G4" s="93">
        <f>C4-F4</f>
        <v>-21454.936240695912</v>
      </c>
      <c r="I4" t="s">
        <v>285</v>
      </c>
    </row>
    <row r="5" spans="1:9" x14ac:dyDescent="0.25">
      <c r="A5" s="67">
        <v>5104</v>
      </c>
      <c r="B5" s="66" t="s">
        <v>207</v>
      </c>
      <c r="C5" s="68">
        <f>347830.02+'Bilag 310 Afdragsprofil'!H6</f>
        <v>376582.23551557685</v>
      </c>
      <c r="E5" s="67">
        <v>6630</v>
      </c>
      <c r="F5" s="68">
        <f>'Bilag 310 Afdragsprofil'!D6</f>
        <v>287522.15515576844</v>
      </c>
      <c r="G5" s="93">
        <f>C5-F5</f>
        <v>89060.080359808402</v>
      </c>
    </row>
    <row r="6" spans="1:9" x14ac:dyDescent="0.25">
      <c r="A6" s="67">
        <v>5106</v>
      </c>
      <c r="B6" s="66" t="s">
        <v>140</v>
      </c>
      <c r="C6" s="68">
        <f>3970.17+'Bilag 310 Afdragsprofil'!H5</f>
        <v>5643.4088511358714</v>
      </c>
      <c r="E6" s="67">
        <v>6640</v>
      </c>
      <c r="F6" s="68">
        <f>'Bilag 310 Afdragsprofil'!D5</f>
        <v>16732.388511358717</v>
      </c>
      <c r="G6" s="93">
        <f>C6-F6</f>
        <v>-11088.979660222845</v>
      </c>
      <c r="I6" t="s">
        <v>286</v>
      </c>
    </row>
    <row r="7" spans="1:9" ht="14.4" x14ac:dyDescent="0.3">
      <c r="A7" s="66"/>
      <c r="B7" s="115" t="s">
        <v>141</v>
      </c>
      <c r="C7" s="116">
        <f>+SUM(C4:C6)</f>
        <v>384394.0108543649</v>
      </c>
      <c r="E7" s="67"/>
      <c r="F7" s="116">
        <f>SUM(F4:F6)</f>
        <v>327877.84639547527</v>
      </c>
      <c r="G7" s="93">
        <f>C7-F7</f>
        <v>56516.164458889631</v>
      </c>
      <c r="I7" t="s">
        <v>287</v>
      </c>
    </row>
    <row r="9" spans="1:9" x14ac:dyDescent="0.25">
      <c r="A9" s="67"/>
      <c r="B9" s="66"/>
      <c r="C9" s="93"/>
      <c r="E9" s="67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zoomScale="110" zoomScaleNormal="110" workbookViewId="0">
      <selection activeCell="D4" sqref="D4"/>
    </sheetView>
  </sheetViews>
  <sheetFormatPr defaultRowHeight="13.2" x14ac:dyDescent="0.25"/>
  <cols>
    <col min="1" max="1" width="33.33203125" bestFit="1" customWidth="1"/>
    <col min="2" max="5" width="14.109375" style="93" customWidth="1"/>
    <col min="6" max="6" width="18.33203125" bestFit="1" customWidth="1"/>
    <col min="7" max="7" width="11.5546875" bestFit="1" customWidth="1"/>
    <col min="8" max="8" width="14" bestFit="1" customWidth="1"/>
  </cols>
  <sheetData>
    <row r="1" spans="1:12" ht="15.6" x14ac:dyDescent="0.3">
      <c r="A1" s="117" t="s">
        <v>291</v>
      </c>
      <c r="B1"/>
      <c r="C1"/>
      <c r="D1"/>
      <c r="E1"/>
    </row>
    <row r="2" spans="1:12" x14ac:dyDescent="0.25">
      <c r="B2"/>
      <c r="C2"/>
      <c r="D2"/>
      <c r="E2"/>
    </row>
    <row r="3" spans="1:12" x14ac:dyDescent="0.25">
      <c r="A3" t="s">
        <v>3</v>
      </c>
      <c r="B3" s="124" t="s">
        <v>262</v>
      </c>
      <c r="C3" s="124" t="s">
        <v>276</v>
      </c>
      <c r="D3" s="124" t="s">
        <v>277</v>
      </c>
      <c r="E3" s="125" t="s">
        <v>266</v>
      </c>
      <c r="F3" s="126" t="s">
        <v>265</v>
      </c>
      <c r="G3" s="126" t="s">
        <v>263</v>
      </c>
      <c r="H3" s="126" t="s">
        <v>264</v>
      </c>
      <c r="J3" s="126" t="s">
        <v>301</v>
      </c>
      <c r="K3" s="126" t="s">
        <v>281</v>
      </c>
      <c r="L3" s="126" t="s">
        <v>302</v>
      </c>
    </row>
    <row r="4" spans="1:12" x14ac:dyDescent="0.25">
      <c r="A4" s="113" t="s">
        <v>270</v>
      </c>
      <c r="B4" s="93">
        <f>132147.97-1*5443.4</f>
        <v>126704.57</v>
      </c>
      <c r="C4" s="93">
        <f>B$11*B4/B$10</f>
        <v>4691.97360452475</v>
      </c>
      <c r="D4" s="119">
        <f>B14+C4</f>
        <v>131739.08360452476</v>
      </c>
      <c r="E4" s="112">
        <v>42735</v>
      </c>
      <c r="F4">
        <v>54</v>
      </c>
      <c r="G4" s="93">
        <f>(D4/F4)*12</f>
        <v>29275.35191211661</v>
      </c>
      <c r="H4" s="119">
        <f>(D4/F4)*2</f>
        <v>4879.2253186861017</v>
      </c>
      <c r="J4">
        <v>4704.97</v>
      </c>
      <c r="K4" s="93">
        <f>H4-J4</f>
        <v>174.25531868610142</v>
      </c>
      <c r="L4" s="93">
        <f>K4*2</f>
        <v>348.51063737220284</v>
      </c>
    </row>
    <row r="5" spans="1:12" x14ac:dyDescent="0.25">
      <c r="A5" s="113" t="s">
        <v>267</v>
      </c>
      <c r="B5" s="93">
        <v>16134.9</v>
      </c>
      <c r="C5" s="93">
        <f>B$11*B5/B$10</f>
        <v>597.48851135871735</v>
      </c>
      <c r="D5" s="93">
        <f>B5+C5</f>
        <v>16732.388511358717</v>
      </c>
      <c r="E5" s="112">
        <v>41639</v>
      </c>
      <c r="F5" s="90">
        <v>20</v>
      </c>
      <c r="G5" s="93">
        <f>(D5/F5)*12</f>
        <v>10039.433106815231</v>
      </c>
      <c r="H5" s="93">
        <f>(D5/F5)*2</f>
        <v>1673.2388511358718</v>
      </c>
    </row>
    <row r="6" spans="1:12" x14ac:dyDescent="0.25">
      <c r="A6" s="113" t="s">
        <v>268</v>
      </c>
      <c r="B6" s="93">
        <v>277255.17</v>
      </c>
      <c r="C6" s="93">
        <f>B$11*B6/B$10</f>
        <v>10266.985155768432</v>
      </c>
      <c r="D6" s="93">
        <f>B6+C6</f>
        <v>287522.15515576844</v>
      </c>
      <c r="E6" s="112">
        <v>41639</v>
      </c>
      <c r="F6" s="90">
        <v>20</v>
      </c>
      <c r="G6" s="93">
        <f>(D6/F6)*12</f>
        <v>172513.29309346108</v>
      </c>
      <c r="H6" s="93">
        <f>(D6/F6)*2</f>
        <v>28752.215515576845</v>
      </c>
    </row>
    <row r="7" spans="1:12" x14ac:dyDescent="0.25">
      <c r="A7" s="113" t="s">
        <v>269</v>
      </c>
      <c r="B7" s="93">
        <v>22779.75</v>
      </c>
      <c r="C7" s="93">
        <f>B$11*B7/B$10</f>
        <v>843.55272834809887</v>
      </c>
      <c r="D7" s="93">
        <f>B7+C7</f>
        <v>23623.302728348099</v>
      </c>
      <c r="E7" s="112">
        <v>42369</v>
      </c>
      <c r="F7">
        <v>44</v>
      </c>
      <c r="G7" s="93">
        <f>(D7/F7)*12</f>
        <v>6442.7189259131173</v>
      </c>
      <c r="H7" s="93">
        <f>(D7/F7)*2</f>
        <v>1073.7864876521862</v>
      </c>
    </row>
    <row r="8" spans="1:12" x14ac:dyDescent="0.25">
      <c r="A8" s="122" t="s">
        <v>298</v>
      </c>
      <c r="E8" s="123" t="s">
        <v>299</v>
      </c>
      <c r="G8" s="93">
        <v>7854.83</v>
      </c>
      <c r="H8" s="93">
        <f>G8/6</f>
        <v>1309.1383333333333</v>
      </c>
    </row>
    <row r="9" spans="1:12" x14ac:dyDescent="0.25">
      <c r="A9" s="122"/>
      <c r="E9" s="123"/>
      <c r="G9" s="93"/>
      <c r="H9" s="93"/>
    </row>
    <row r="10" spans="1:12" x14ac:dyDescent="0.25">
      <c r="A10" s="113" t="s">
        <v>275</v>
      </c>
      <c r="B10" s="93">
        <f>SUM(B4:B7)</f>
        <v>442874.39</v>
      </c>
      <c r="F10">
        <v>2013</v>
      </c>
      <c r="G10" s="93">
        <f>SUM(G4:G9)</f>
        <v>226125.62703830603</v>
      </c>
      <c r="H10" s="93">
        <f>SUM(H4:H9)</f>
        <v>37687.604506384341</v>
      </c>
    </row>
    <row r="11" spans="1:12" x14ac:dyDescent="0.25">
      <c r="A11" t="s">
        <v>274</v>
      </c>
      <c r="B11" s="93">
        <v>16400</v>
      </c>
      <c r="C11" s="93">
        <f>SUM(C4:C7)</f>
        <v>16400</v>
      </c>
      <c r="F11">
        <v>2014</v>
      </c>
      <c r="G11" s="93">
        <f>G4+G7+G8</f>
        <v>43572.900838029731</v>
      </c>
    </row>
    <row r="12" spans="1:12" x14ac:dyDescent="0.25">
      <c r="F12">
        <v>2015</v>
      </c>
      <c r="G12" s="93">
        <f>G4+G7+G8</f>
        <v>43572.900838029731</v>
      </c>
    </row>
    <row r="13" spans="1:12" x14ac:dyDescent="0.25">
      <c r="F13">
        <v>2016</v>
      </c>
      <c r="G13" s="93">
        <f>G4+G8</f>
        <v>37130.181912116612</v>
      </c>
    </row>
    <row r="14" spans="1:12" x14ac:dyDescent="0.25">
      <c r="A14" s="113" t="s">
        <v>288</v>
      </c>
      <c r="B14" s="93">
        <v>127047.11</v>
      </c>
      <c r="F14" s="127" t="s">
        <v>300</v>
      </c>
      <c r="G14" s="93">
        <f>G8</f>
        <v>7854.83</v>
      </c>
    </row>
    <row r="15" spans="1:12" x14ac:dyDescent="0.25">
      <c r="A15" s="113" t="s">
        <v>290</v>
      </c>
      <c r="B15" s="118">
        <v>134921.75</v>
      </c>
    </row>
    <row r="16" spans="1:12" x14ac:dyDescent="0.25">
      <c r="A16" s="113" t="s">
        <v>289</v>
      </c>
      <c r="B16" s="119">
        <f>B15-B14</f>
        <v>7874.6399999999994</v>
      </c>
    </row>
  </sheetData>
  <phoneticPr fontId="1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G21" sqref="G21"/>
    </sheetView>
  </sheetViews>
  <sheetFormatPr defaultRowHeight="13.2" x14ac:dyDescent="0.25"/>
  <cols>
    <col min="1" max="1" width="34.5546875" customWidth="1"/>
    <col min="3" max="3" width="9.33203125" bestFit="1" customWidth="1"/>
    <col min="5" max="5" width="11.109375" bestFit="1" customWidth="1"/>
    <col min="6" max="6" width="9.33203125" bestFit="1" customWidth="1"/>
  </cols>
  <sheetData>
    <row r="1" spans="1:10" ht="15.6" x14ac:dyDescent="0.3">
      <c r="A1" s="117" t="s">
        <v>343</v>
      </c>
    </row>
    <row r="2" spans="1:10" x14ac:dyDescent="0.25">
      <c r="A2" s="128" t="s">
        <v>303</v>
      </c>
      <c r="B2" s="129" t="s">
        <v>304</v>
      </c>
      <c r="C2" s="129" t="s">
        <v>305</v>
      </c>
      <c r="D2" s="129" t="s">
        <v>306</v>
      </c>
      <c r="E2" s="129" t="s">
        <v>307</v>
      </c>
      <c r="F2" s="129" t="s">
        <v>308</v>
      </c>
      <c r="G2" s="129" t="s">
        <v>309</v>
      </c>
      <c r="H2" s="129" t="s">
        <v>92</v>
      </c>
      <c r="J2" s="130" t="s">
        <v>310</v>
      </c>
    </row>
    <row r="3" spans="1:10" x14ac:dyDescent="0.25">
      <c r="A3" s="131" t="s">
        <v>311</v>
      </c>
      <c r="B3" s="132">
        <v>12</v>
      </c>
      <c r="C3" s="133">
        <v>183.18</v>
      </c>
      <c r="D3" s="134">
        <f t="shared" ref="D3:D10" si="0">B3*C3</f>
        <v>2198.16</v>
      </c>
      <c r="E3" s="134">
        <f>D3*1.25</f>
        <v>2747.7</v>
      </c>
      <c r="F3" s="134"/>
      <c r="G3" s="132"/>
    </row>
    <row r="4" spans="1:10" x14ac:dyDescent="0.25">
      <c r="A4" s="131" t="s">
        <v>312</v>
      </c>
      <c r="B4" s="132">
        <v>1</v>
      </c>
      <c r="C4" s="134">
        <v>362.53</v>
      </c>
      <c r="D4" s="134">
        <f>B4*C4</f>
        <v>362.53</v>
      </c>
      <c r="E4" s="134">
        <f>D4*1.25</f>
        <v>453.16249999999997</v>
      </c>
      <c r="F4" s="134"/>
      <c r="G4" s="134"/>
    </row>
    <row r="5" spans="1:10" x14ac:dyDescent="0.25">
      <c r="A5" s="131" t="s">
        <v>313</v>
      </c>
      <c r="B5" s="132">
        <v>25</v>
      </c>
      <c r="C5" s="133">
        <v>448.8</v>
      </c>
      <c r="D5" s="134">
        <f t="shared" si="0"/>
        <v>11220</v>
      </c>
      <c r="E5" s="134">
        <f t="shared" ref="E5:E19" si="1">D5*1.25</f>
        <v>14025</v>
      </c>
      <c r="F5" s="134"/>
      <c r="G5" s="132"/>
    </row>
    <row r="6" spans="1:10" x14ac:dyDescent="0.25">
      <c r="A6" s="131" t="s">
        <v>314</v>
      </c>
      <c r="B6" s="132">
        <v>25</v>
      </c>
      <c r="C6" s="133">
        <v>15</v>
      </c>
      <c r="D6" s="134">
        <f t="shared" si="0"/>
        <v>375</v>
      </c>
      <c r="E6" s="134">
        <f t="shared" si="1"/>
        <v>468.75</v>
      </c>
      <c r="F6" s="134"/>
      <c r="G6" s="132"/>
    </row>
    <row r="7" spans="1:10" x14ac:dyDescent="0.25">
      <c r="A7" s="131" t="s">
        <v>315</v>
      </c>
      <c r="B7" s="132">
        <v>25</v>
      </c>
      <c r="C7" s="134">
        <v>26.5</v>
      </c>
      <c r="D7" s="134">
        <f t="shared" si="0"/>
        <v>662.5</v>
      </c>
      <c r="E7" s="134">
        <f t="shared" si="1"/>
        <v>828.125</v>
      </c>
      <c r="F7" s="134"/>
      <c r="G7" s="132"/>
    </row>
    <row r="8" spans="1:10" x14ac:dyDescent="0.25">
      <c r="A8" s="131" t="s">
        <v>316</v>
      </c>
      <c r="B8" s="132">
        <v>25</v>
      </c>
      <c r="C8" s="134">
        <v>26.5</v>
      </c>
      <c r="D8" s="134">
        <f t="shared" si="0"/>
        <v>662.5</v>
      </c>
      <c r="E8" s="134">
        <f t="shared" si="1"/>
        <v>828.125</v>
      </c>
      <c r="F8" s="134"/>
      <c r="G8" s="132"/>
    </row>
    <row r="9" spans="1:10" x14ac:dyDescent="0.25">
      <c r="A9" s="131" t="s">
        <v>317</v>
      </c>
      <c r="B9" s="132">
        <v>25</v>
      </c>
      <c r="C9" s="133">
        <v>40</v>
      </c>
      <c r="D9" s="134">
        <f t="shared" si="0"/>
        <v>1000</v>
      </c>
      <c r="E9" s="134">
        <f t="shared" si="1"/>
        <v>1250</v>
      </c>
      <c r="F9" s="134"/>
      <c r="G9" s="132"/>
    </row>
    <row r="10" spans="1:10" x14ac:dyDescent="0.25">
      <c r="A10" s="135" t="s">
        <v>318</v>
      </c>
      <c r="B10" s="136">
        <v>25</v>
      </c>
      <c r="C10" s="137">
        <v>454</v>
      </c>
      <c r="D10" s="137">
        <f t="shared" si="0"/>
        <v>11350</v>
      </c>
      <c r="E10" s="134">
        <f t="shared" si="1"/>
        <v>14187.5</v>
      </c>
      <c r="F10" s="134"/>
      <c r="G10" s="132"/>
    </row>
    <row r="11" spans="1:10" ht="13.8" thickBot="1" x14ac:dyDescent="0.3">
      <c r="A11" s="131" t="s">
        <v>319</v>
      </c>
      <c r="B11" s="132"/>
      <c r="C11" s="134"/>
      <c r="D11" s="134">
        <f>SUM(D3:D10)</f>
        <v>27830.69</v>
      </c>
      <c r="E11" s="138">
        <f t="shared" si="1"/>
        <v>34788.362499999996</v>
      </c>
      <c r="F11" s="138">
        <f>E11/6/25</f>
        <v>231.92241666666666</v>
      </c>
      <c r="G11" s="138">
        <f>12*F11</f>
        <v>2783.069</v>
      </c>
      <c r="H11" s="138">
        <f>2*F11</f>
        <v>463.84483333333333</v>
      </c>
      <c r="J11" s="139">
        <v>112</v>
      </c>
    </row>
    <row r="12" spans="1:10" ht="13.8" thickTop="1" x14ac:dyDescent="0.25">
      <c r="A12" s="131"/>
      <c r="B12" s="132"/>
      <c r="C12" s="134"/>
      <c r="D12" s="134"/>
      <c r="E12" s="134"/>
      <c r="F12" s="134"/>
      <c r="G12" s="134"/>
    </row>
    <row r="13" spans="1:10" x14ac:dyDescent="0.25">
      <c r="A13" s="131" t="s">
        <v>313</v>
      </c>
      <c r="B13" s="132">
        <v>1</v>
      </c>
      <c r="C13" s="133">
        <v>448.8</v>
      </c>
      <c r="D13" s="134">
        <f>B13*C13</f>
        <v>448.8</v>
      </c>
      <c r="E13" s="134">
        <f t="shared" si="1"/>
        <v>561</v>
      </c>
      <c r="F13" s="134"/>
      <c r="G13" s="132"/>
    </row>
    <row r="14" spans="1:10" x14ac:dyDescent="0.25">
      <c r="A14" s="135" t="s">
        <v>311</v>
      </c>
      <c r="B14" s="136">
        <v>1</v>
      </c>
      <c r="C14" s="140">
        <v>183.18</v>
      </c>
      <c r="D14" s="137">
        <f>B14*C14</f>
        <v>183.18</v>
      </c>
      <c r="E14" s="137">
        <f>D14*1.25</f>
        <v>228.97500000000002</v>
      </c>
      <c r="F14" s="137"/>
      <c r="G14" s="136"/>
    </row>
    <row r="15" spans="1:10" ht="13.8" thickBot="1" x14ac:dyDescent="0.3">
      <c r="A15" s="131" t="s">
        <v>320</v>
      </c>
      <c r="B15" s="132"/>
      <c r="C15" s="133"/>
      <c r="D15" s="134"/>
      <c r="E15" s="138">
        <f>SUM(E13:E14)</f>
        <v>789.97500000000002</v>
      </c>
      <c r="F15" s="138">
        <f>E15/6</f>
        <v>131.66249999999999</v>
      </c>
      <c r="G15" s="138">
        <f>2*E15</f>
        <v>1579.95</v>
      </c>
      <c r="H15" s="138">
        <f>2*F15</f>
        <v>263.32499999999999</v>
      </c>
    </row>
    <row r="16" spans="1:10" ht="13.8" thickTop="1" x14ac:dyDescent="0.25">
      <c r="A16" s="131"/>
      <c r="B16" s="132"/>
      <c r="C16" s="133"/>
      <c r="D16" s="134"/>
      <c r="E16" s="134"/>
      <c r="F16" s="134"/>
      <c r="G16" s="132"/>
    </row>
    <row r="17" spans="1:10" x14ac:dyDescent="0.25">
      <c r="A17" s="131" t="s">
        <v>321</v>
      </c>
      <c r="B17" s="132">
        <v>1</v>
      </c>
      <c r="C17" s="134">
        <v>1328.55</v>
      </c>
      <c r="D17" s="134">
        <f>B17*C17</f>
        <v>1328.55</v>
      </c>
      <c r="E17" s="134">
        <f>D17*1.25</f>
        <v>1660.6875</v>
      </c>
      <c r="F17" s="134"/>
      <c r="G17" s="134"/>
    </row>
    <row r="18" spans="1:10" x14ac:dyDescent="0.25">
      <c r="A18" s="135" t="s">
        <v>322</v>
      </c>
      <c r="B18" s="136">
        <v>1</v>
      </c>
      <c r="C18" s="137">
        <v>2620.98</v>
      </c>
      <c r="D18" s="137">
        <f>B18*C18</f>
        <v>2620.98</v>
      </c>
      <c r="E18" s="137">
        <f t="shared" si="1"/>
        <v>3276.2249999999999</v>
      </c>
      <c r="F18" s="137"/>
      <c r="G18" s="137"/>
    </row>
    <row r="19" spans="1:10" ht="13.8" thickBot="1" x14ac:dyDescent="0.3">
      <c r="A19" s="131" t="s">
        <v>323</v>
      </c>
      <c r="B19" s="132"/>
      <c r="C19" s="134"/>
      <c r="D19" s="134">
        <f>SUM(D17:D18)</f>
        <v>3949.5299999999997</v>
      </c>
      <c r="E19" s="138">
        <f t="shared" si="1"/>
        <v>4936.9124999999995</v>
      </c>
      <c r="F19" s="138">
        <f>E19/6</f>
        <v>822.81874999999991</v>
      </c>
      <c r="G19" s="138">
        <f>2*E19</f>
        <v>9873.8249999999989</v>
      </c>
      <c r="H19" s="138">
        <f>2*F19</f>
        <v>1645.6374999999998</v>
      </c>
      <c r="J19" s="139">
        <f>8855-1646</f>
        <v>7209</v>
      </c>
    </row>
    <row r="20" spans="1:10" ht="13.8" thickTop="1" x14ac:dyDescent="0.25">
      <c r="A20" s="132"/>
      <c r="B20" s="132"/>
      <c r="C20" s="134"/>
      <c r="D20" s="134"/>
      <c r="E20" s="134"/>
      <c r="F20" s="134"/>
      <c r="G20" s="132"/>
    </row>
    <row r="21" spans="1:10" x14ac:dyDescent="0.25">
      <c r="A21" s="132"/>
      <c r="B21" s="132"/>
      <c r="C21" s="134"/>
      <c r="D21" s="134"/>
      <c r="E21" s="134"/>
      <c r="F21" s="134"/>
      <c r="G21" s="132"/>
    </row>
    <row r="22" spans="1:10" x14ac:dyDescent="0.25">
      <c r="A22" s="131" t="s">
        <v>324</v>
      </c>
      <c r="B22" s="132"/>
      <c r="C22" s="134"/>
      <c r="D22" s="134"/>
      <c r="E22" s="134">
        <f>E11+E19+E15</f>
        <v>40515.249999999993</v>
      </c>
      <c r="F22" s="134"/>
      <c r="G22" s="132"/>
    </row>
    <row r="25" spans="1:10" x14ac:dyDescent="0.25">
      <c r="A25" t="s">
        <v>325</v>
      </c>
      <c r="E25">
        <v>1263.51</v>
      </c>
    </row>
    <row r="26" spans="1:10" x14ac:dyDescent="0.25">
      <c r="A26" s="141" t="s">
        <v>326</v>
      </c>
      <c r="B26" s="141"/>
      <c r="C26" s="141"/>
      <c r="D26" s="141"/>
      <c r="E26" s="118">
        <f>E15</f>
        <v>789.97500000000002</v>
      </c>
      <c r="F26" s="137">
        <f>E26/6</f>
        <v>131.66249999999999</v>
      </c>
      <c r="G26" s="137">
        <f>2*E26</f>
        <v>1579.95</v>
      </c>
      <c r="H26" s="137">
        <f>2*F26</f>
        <v>263.32499999999999</v>
      </c>
    </row>
    <row r="27" spans="1:10" ht="13.8" thickBot="1" x14ac:dyDescent="0.3">
      <c r="E27" s="138">
        <f>SUM(E25:E26)</f>
        <v>2053.4850000000001</v>
      </c>
      <c r="F27" s="143">
        <f>E27/6</f>
        <v>342.2475</v>
      </c>
      <c r="G27" s="143">
        <f>2*E27</f>
        <v>4106.97</v>
      </c>
      <c r="H27" s="143">
        <f>2*F27</f>
        <v>684.495</v>
      </c>
    </row>
    <row r="28" spans="1:10" ht="13.8" thickTop="1" x14ac:dyDescent="0.25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B4" sqref="B4"/>
    </sheetView>
  </sheetViews>
  <sheetFormatPr defaultRowHeight="13.2" x14ac:dyDescent="0.25"/>
  <cols>
    <col min="1" max="1" width="27" customWidth="1"/>
  </cols>
  <sheetData>
    <row r="1" spans="1:6" s="128" customFormat="1" x14ac:dyDescent="0.25">
      <c r="A1" s="128" t="s">
        <v>327</v>
      </c>
    </row>
    <row r="2" spans="1:6" x14ac:dyDescent="0.25">
      <c r="C2" s="129" t="s">
        <v>328</v>
      </c>
      <c r="D2" s="129" t="s">
        <v>308</v>
      </c>
      <c r="E2" s="129" t="s">
        <v>329</v>
      </c>
      <c r="F2" s="129" t="s">
        <v>92</v>
      </c>
    </row>
    <row r="4" spans="1:6" x14ac:dyDescent="0.25">
      <c r="A4" t="s">
        <v>330</v>
      </c>
      <c r="B4" s="20">
        <f>(B19-B21+B22)*0.037*9/12</f>
        <v>4829.3602499999997</v>
      </c>
    </row>
    <row r="5" spans="1:6" x14ac:dyDescent="0.25">
      <c r="A5" t="s">
        <v>331</v>
      </c>
      <c r="B5" s="20">
        <v>7100</v>
      </c>
    </row>
    <row r="6" spans="1:6" x14ac:dyDescent="0.25">
      <c r="A6" s="141" t="s">
        <v>332</v>
      </c>
      <c r="B6" s="142">
        <f>(408+5585+354+700)</f>
        <v>7047</v>
      </c>
      <c r="C6" s="141"/>
      <c r="D6" s="141"/>
      <c r="E6" s="141"/>
      <c r="F6" s="141"/>
    </row>
    <row r="7" spans="1:6" ht="13.8" thickBot="1" x14ac:dyDescent="0.3">
      <c r="A7" t="s">
        <v>333</v>
      </c>
      <c r="B7" s="20">
        <f>SUM(B4:B6)</f>
        <v>18976.360249999998</v>
      </c>
      <c r="C7" s="143">
        <f>B7/2</f>
        <v>9488.180124999999</v>
      </c>
      <c r="D7" s="143">
        <f>C7/6/25</f>
        <v>63.254534166666666</v>
      </c>
      <c r="E7" s="143">
        <f>12*D7</f>
        <v>759.05440999999996</v>
      </c>
      <c r="F7" s="143">
        <f>2*D7</f>
        <v>126.50906833333333</v>
      </c>
    </row>
    <row r="8" spans="1:6" ht="13.8" thickTop="1" x14ac:dyDescent="0.25"/>
    <row r="9" spans="1:6" x14ac:dyDescent="0.25">
      <c r="A9" t="s">
        <v>334</v>
      </c>
      <c r="B9" s="20">
        <f>4*6400+ 2*7100</f>
        <v>39800</v>
      </c>
    </row>
    <row r="10" spans="1:6" x14ac:dyDescent="0.25">
      <c r="C10" s="144"/>
      <c r="D10" s="144"/>
      <c r="E10" s="144"/>
      <c r="F10" s="144"/>
    </row>
    <row r="11" spans="1:6" ht="13.8" thickBot="1" x14ac:dyDescent="0.3">
      <c r="A11" s="131" t="s">
        <v>335</v>
      </c>
      <c r="B11" s="20">
        <f>B9-B7</f>
        <v>20823.639750000002</v>
      </c>
      <c r="C11" s="143">
        <f>B11/2</f>
        <v>10411.819875000001</v>
      </c>
      <c r="D11" s="143">
        <f>C11/6/25</f>
        <v>69.412132500000013</v>
      </c>
      <c r="E11" s="143">
        <f>12*D11</f>
        <v>832.94559000000015</v>
      </c>
      <c r="F11" s="143">
        <f>2*D11</f>
        <v>138.82426500000003</v>
      </c>
    </row>
    <row r="12" spans="1:6" ht="13.8" thickTop="1" x14ac:dyDescent="0.25"/>
    <row r="14" spans="1:6" x14ac:dyDescent="0.25">
      <c r="A14" t="s">
        <v>336</v>
      </c>
    </row>
    <row r="15" spans="1:6" x14ac:dyDescent="0.25">
      <c r="A15" s="145" t="s">
        <v>337</v>
      </c>
      <c r="B15" s="20">
        <v>145700</v>
      </c>
    </row>
    <row r="16" spans="1:6" x14ac:dyDescent="0.25">
      <c r="A16" s="145" t="s">
        <v>338</v>
      </c>
      <c r="B16" s="20">
        <v>275000</v>
      </c>
    </row>
    <row r="17" spans="1:2" x14ac:dyDescent="0.25">
      <c r="A17" s="145" t="s">
        <v>339</v>
      </c>
      <c r="B17" s="146">
        <v>14000</v>
      </c>
    </row>
    <row r="18" spans="1:2" x14ac:dyDescent="0.25">
      <c r="A18" s="145" t="s">
        <v>340</v>
      </c>
      <c r="B18" s="142">
        <v>22000</v>
      </c>
    </row>
    <row r="19" spans="1:2" x14ac:dyDescent="0.25">
      <c r="B19" s="20">
        <f>SUM(B15:B18)</f>
        <v>456700</v>
      </c>
    </row>
    <row r="21" spans="1:2" x14ac:dyDescent="0.25">
      <c r="A21" t="s">
        <v>341</v>
      </c>
      <c r="B21" s="20">
        <v>300000</v>
      </c>
    </row>
    <row r="22" spans="1:2" x14ac:dyDescent="0.25">
      <c r="A22" s="113" t="s">
        <v>342</v>
      </c>
      <c r="B22" s="20">
        <v>17331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D15" sqref="D15"/>
    </sheetView>
  </sheetViews>
  <sheetFormatPr defaultRowHeight="13.2" x14ac:dyDescent="0.25"/>
  <cols>
    <col min="1" max="1" width="37" bestFit="1" customWidth="1"/>
    <col min="3" max="3" width="13.109375" style="156" bestFit="1" customWidth="1"/>
    <col min="4" max="4" width="12" bestFit="1" customWidth="1"/>
  </cols>
  <sheetData>
    <row r="1" spans="1:3" ht="15.6" x14ac:dyDescent="0.3">
      <c r="A1" s="117" t="s">
        <v>345</v>
      </c>
    </row>
    <row r="2" spans="1:3" x14ac:dyDescent="0.25">
      <c r="A2" s="151" t="s">
        <v>359</v>
      </c>
    </row>
    <row r="3" spans="1:3" x14ac:dyDescent="0.25">
      <c r="A3" s="150" t="s">
        <v>346</v>
      </c>
      <c r="C3" s="156">
        <v>357823.45</v>
      </c>
    </row>
    <row r="4" spans="1:3" x14ac:dyDescent="0.25">
      <c r="A4" s="150" t="s">
        <v>347</v>
      </c>
      <c r="C4" s="156">
        <v>-173784</v>
      </c>
    </row>
    <row r="5" spans="1:3" x14ac:dyDescent="0.25">
      <c r="A5" s="150" t="s">
        <v>348</v>
      </c>
      <c r="C5" s="157">
        <f>-(224490.66+C4)</f>
        <v>-50706.66</v>
      </c>
    </row>
    <row r="6" spans="1:3" x14ac:dyDescent="0.25">
      <c r="A6" t="s">
        <v>349</v>
      </c>
      <c r="C6" s="156">
        <f>SUM(C3:C5)</f>
        <v>133332.79</v>
      </c>
    </row>
    <row r="8" spans="1:3" x14ac:dyDescent="0.25">
      <c r="A8" s="152" t="s">
        <v>350</v>
      </c>
      <c r="C8" s="156">
        <v>180000</v>
      </c>
    </row>
    <row r="10" spans="1:3" ht="13.8" thickBot="1" x14ac:dyDescent="0.3">
      <c r="A10" s="113" t="s">
        <v>351</v>
      </c>
      <c r="C10" s="158">
        <f>C8-C6</f>
        <v>46667.209999999992</v>
      </c>
    </row>
    <row r="11" spans="1:3" ht="13.8" thickTop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9</vt:i4>
      </vt:variant>
    </vt:vector>
  </HeadingPairs>
  <TitlesOfParts>
    <vt:vector size="9" baseType="lpstr">
      <vt:lpstr>Regnskab og budget</vt:lpstr>
      <vt:lpstr>Saldobalance</vt:lpstr>
      <vt:lpstr>Budget 12.04.24</vt:lpstr>
      <vt:lpstr>Kontoplan 13.01.13</vt:lpstr>
      <vt:lpstr>Bilag 250 Værdi af aktiver</vt:lpstr>
      <vt:lpstr>Bilag 310 Afdragsprofil</vt:lpstr>
      <vt:lpstr>Bilag 473 Renovation</vt:lpstr>
      <vt:lpstr>Est renteudgifter 2012</vt:lpstr>
      <vt:lpstr>Bilag 499 Opsparing</vt:lpstr>
    </vt:vector>
  </TitlesOfParts>
  <Company>RAMBØLL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</dc:creator>
  <cp:lastModifiedBy>Dan Mølholm</cp:lastModifiedBy>
  <cp:lastPrinted>2013-04-07T21:42:43Z</cp:lastPrinted>
  <dcterms:created xsi:type="dcterms:W3CDTF">2005-04-10T13:24:59Z</dcterms:created>
  <dcterms:modified xsi:type="dcterms:W3CDTF">2013-04-07T21:45:00Z</dcterms:modified>
</cp:coreProperties>
</file>