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9492" windowHeight="7500" activeTab="0"/>
  </bookViews>
  <sheets>
    <sheet name="Regnskab og budget" sheetId="1" r:id="rId1"/>
    <sheet name="Saldobalance" sheetId="2" r:id="rId2"/>
    <sheet name="Budget" sheetId="3" r:id="rId3"/>
    <sheet name="Kontoplan" sheetId="4" r:id="rId4"/>
    <sheet name="2010 poster" sheetId="5" r:id="rId5"/>
    <sheet name="Renovation 2012" sheetId="6" r:id="rId6"/>
    <sheet name="Est. renteudgifter 2012" sheetId="7" r:id="rId7"/>
    <sheet name="Flytning ift  2010" sheetId="8" r:id="rId8"/>
  </sheets>
  <definedNames/>
  <calcPr fullCalcOnLoad="1"/>
</workbook>
</file>

<file path=xl/sharedStrings.xml><?xml version="1.0" encoding="utf-8"?>
<sst xmlns="http://schemas.openxmlformats.org/spreadsheetml/2006/main" count="762" uniqueCount="365">
  <si>
    <t xml:space="preserve">Budget </t>
  </si>
  <si>
    <t xml:space="preserve">Regnskab </t>
  </si>
  <si>
    <t xml:space="preserve">Difference </t>
  </si>
  <si>
    <t>Konto</t>
  </si>
  <si>
    <t>%</t>
  </si>
  <si>
    <t>Renter</t>
  </si>
  <si>
    <t>Fadøl</t>
  </si>
  <si>
    <t>Andre indtægter</t>
  </si>
  <si>
    <t>Ydelser på lån</t>
  </si>
  <si>
    <t>Forsikringer</t>
  </si>
  <si>
    <t>Renter og gebyrer</t>
  </si>
  <si>
    <t>Revision</t>
  </si>
  <si>
    <t>Anlægsarbejder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</si>
  <si>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</si>
  <si>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</si>
  <si>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</si>
  <si>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</si>
  <si>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</si>
  <si>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</si>
  <si>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</si>
  <si>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</si>
  <si>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</si>
  <si>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</si>
  <si>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</si>
  <si>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</si>
  <si>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</si>
  <si>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</si>
  <si>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</si>
  <si>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</si>
  <si>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</si>
  <si>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</si>
  <si>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</si>
  <si>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maskine og anlæg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</si>
  <si>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</si>
  <si>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</si>
  <si>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</si>
  <si>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</si>
  <si>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</si>
  <si>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</si>
  <si>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</si>
  <si>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Rengøringsmidler/-artikler</t>
  </si>
  <si>
    <t>Papir, plast, lys, blomster</t>
  </si>
  <si>
    <t>Krydderier</t>
  </si>
  <si>
    <t>Gaver</t>
  </si>
  <si>
    <t>Fester/arrangementer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</si>
  <si>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</si>
  <si>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</si>
  <si>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</si>
  <si>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</si>
  <si>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</si>
  <si>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</si>
  <si>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</si>
  <si>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Kultur</t>
  </si>
  <si>
    <t>Telefon / bredbånd</t>
  </si>
  <si>
    <t>Hjemmeside/e-mail</t>
  </si>
  <si>
    <t>Nyanskaffelse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</si>
  <si>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</si>
  <si>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</si>
  <si>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</si>
  <si>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</si>
  <si>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</si>
  <si>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</si>
  <si>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</si>
  <si>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</si>
  <si>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</si>
  <si>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</si>
  <si>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</si>
  <si>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</si>
  <si>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</si>
  <si>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</si>
  <si>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</si>
  <si>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</si>
  <si>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</si>
  <si>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Reparationer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</si>
  <si>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</si>
  <si>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</si>
  <si>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</si>
  <si>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</si>
  <si>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</si>
  <si>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</si>
  <si>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</si>
  <si>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</si>
  <si>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</si>
  <si>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</si>
  <si>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</si>
  <si>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</si>
  <si>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</si>
  <si>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</si>
  <si>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</si>
  <si>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</si>
  <si>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</si>
  <si>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Øl opkrævet</t>
  </si>
  <si>
    <t>Øl Fælleshuset</t>
  </si>
  <si>
    <t>Tuborg og andre</t>
  </si>
  <si>
    <t>Mælk opkrævet</t>
  </si>
  <si>
    <t>Øllingegård</t>
  </si>
  <si>
    <t>Huslejeopkrævet</t>
  </si>
  <si>
    <t xml:space="preserve">Kredit </t>
  </si>
  <si>
    <t>DONG - EL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</si>
  <si>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</si>
  <si>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</si>
  <si>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</si>
  <si>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</si>
  <si>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</si>
  <si>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</si>
  <si>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</si>
  <si>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</si>
  <si>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</si>
  <si>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</si>
  <si>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</si>
  <si>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</si>
  <si>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</si>
  <si>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</si>
  <si>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1000..1040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</si>
  <si>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</si>
  <si>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</si>
  <si>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</si>
  <si>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</si>
  <si>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</si>
  <si>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</si>
  <si>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</si>
  <si>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</si>
  <si>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</si>
  <si>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</si>
  <si>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</si>
  <si>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</si>
  <si>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</si>
  <si>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</si>
  <si>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</si>
  <si>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</si>
  <si>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</si>
  <si>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</si>
  <si>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</si>
  <si>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</si>
  <si>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</si>
  <si>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</si>
  <si>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</si>
  <si>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</si>
  <si>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</si>
  <si>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</si>
  <si>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</si>
  <si>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</si>
  <si>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</si>
  <si>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</si>
  <si>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</si>
  <si>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</si>
  <si>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</si>
  <si>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</si>
  <si>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</si>
  <si>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</si>
  <si>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</si>
  <si>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</si>
  <si>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</si>
  <si>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</si>
  <si>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</si>
  <si>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</si>
  <si>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</si>
  <si>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</si>
  <si>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</si>
  <si>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</si>
  <si>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Depositum mælkeordningen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</si>
  <si>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</si>
  <si>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</si>
  <si>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</si>
  <si>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</si>
  <si>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</si>
  <si>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</si>
  <si>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EIK Bank 1122183</t>
  </si>
  <si>
    <t>Jyske Bank 135684-2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</si>
  <si>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</si>
  <si>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</si>
  <si>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</si>
  <si>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</si>
  <si>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</si>
  <si>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</si>
  <si>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</si>
  <si>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</si>
  <si>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Overført resultat tidligere år</t>
  </si>
  <si>
    <t>EGENKAPITAL I ALT</t>
  </si>
  <si>
    <t>1000..4990;6100..6199</t>
  </si>
  <si>
    <t>Hensættelser</t>
  </si>
  <si>
    <t>Opsparring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</si>
  <si>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</si>
  <si>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</si>
  <si>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</si>
  <si>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</si>
  <si>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</si>
  <si>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</si>
  <si>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</si>
  <si>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</si>
  <si>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</si>
  <si>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</si>
  <si>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</si>
  <si>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</si>
  <si>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</si>
  <si>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</si>
  <si>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</si>
  <si>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</si>
  <si>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</si>
  <si>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</si>
  <si>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</si>
  <si>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</si>
  <si>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r>
      <t>Saldobalance for perioden 01.01.11-31.12.11</t>
    </r>
    <r>
      <rPr>
        <sz val="10"/>
        <rFont val="Arial"/>
        <family val="0"/>
      </rPr>
      <t> </t>
    </r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</si>
  <si>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</si>
  <si>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</si>
  <si>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</si>
  <si>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</si>
  <si>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</si>
  <si>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</si>
  <si>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</si>
  <si>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</si>
  <si>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</si>
  <si>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</si>
  <si>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EIK Bank</t>
  </si>
  <si>
    <t>Gevinst på valutakursdiff, debitorer</t>
  </si>
  <si>
    <t>Gevinst på valutakursdiff, kreditorer</t>
  </si>
  <si>
    <t>??</t>
  </si>
  <si>
    <t>???</t>
  </si>
  <si>
    <t>Ændring</t>
  </si>
  <si>
    <t xml:space="preserve">Regnskabsår </t>
  </si>
  <si>
    <t>Budgetår</t>
  </si>
  <si>
    <t>:   fra</t>
  </si>
  <si>
    <t>til</t>
  </si>
  <si>
    <t>EIK Banken 1243045 - fyrudskiftning</t>
  </si>
  <si>
    <t>EIK Banken 1234291 - komfur &amp; ovn</t>
  </si>
  <si>
    <t>EIK Banken 1328083 - Tørretumbler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</si>
  <si>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</si>
  <si>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</si>
  <si>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</si>
  <si>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</si>
  <si>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</si>
  <si>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</si>
  <si>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</si>
  <si>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</si>
  <si>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</si>
  <si>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</si>
  <si>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</si>
  <si>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</si>
  <si>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Aviser og tidsskrifter</t>
  </si>
  <si>
    <t>KD, 7AV - Stuehuset + Østlængen</t>
  </si>
  <si>
    <t>EIK Bank, Komfur &amp; Ovn - 1234291</t>
  </si>
  <si>
    <t>EIK Bank, Fyrudskiftning - 1234045</t>
  </si>
  <si>
    <t>EIK Bank, Tørretumbler - 1328083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</si>
  <si>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</si>
  <si>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</si>
  <si>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</si>
  <si>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</si>
  <si>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</si>
  <si>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</si>
  <si>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</si>
  <si>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</si>
  <si>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</si>
  <si>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</si>
  <si>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</si>
  <si>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</si>
  <si>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Rykkergebyr og bankrente</t>
  </si>
  <si>
    <t>Får</t>
  </si>
  <si>
    <t>Salg af fåreprodukter</t>
  </si>
  <si>
    <t>Løbende udgifter/får</t>
  </si>
  <si>
    <t>Engangsudgifter/får</t>
  </si>
  <si>
    <t>Årets udvikling/får</t>
  </si>
  <si>
    <t>Får i alt</t>
  </si>
  <si>
    <t>Finansbanken, Komfur &amp; Ovn - 1234291</t>
  </si>
  <si>
    <t>Finansbanken, Fyrudskiftning - 1234045</t>
  </si>
  <si>
    <t>Finansbanken, Tørretumbler - 1328083</t>
  </si>
  <si>
    <t>Finansbanken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</si>
  <si>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</si>
  <si>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</si>
  <si>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</si>
  <si>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</si>
  <si>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</si>
  <si>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</si>
  <si>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</si>
  <si>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</si>
  <si>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</si>
  <si>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</si>
  <si>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</si>
  <si>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</si>
  <si>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</si>
  <si>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</si>
  <si>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304714 - Bofællesskabet Bakken I/S</t>
  </si>
  <si>
    <t>Bogføring &gt; Opslag og kartoteker &gt;</t>
  </si>
  <si>
    <t>Find bilag</t>
  </si>
  <si>
    <t>Serienr.</t>
  </si>
  <si>
    <t>Dato</t>
  </si>
  <si>
    <t>Bilag</t>
  </si>
  <si>
    <t>Type</t>
  </si>
  <si>
    <t>Beløb (DKK)</t>
  </si>
  <si>
    <t>Finansbilag</t>
  </si>
  <si>
    <t>2010: BANKOVF. HPFI relæ fyrrum</t>
  </si>
  <si>
    <t>2010: BANKOVF. rep gasfyr</t>
  </si>
  <si>
    <t>2010: Chipkort moms</t>
  </si>
  <si>
    <t>vandslange. NB 2010</t>
  </si>
  <si>
    <t>arbw.mask. NB 2010 -H14</t>
  </si>
  <si>
    <t>abon.hjsi NB2010-11-H14</t>
  </si>
  <si>
    <t>BANKOVF. kørsel 2010</t>
  </si>
  <si>
    <t>2010: INDB.KORT pap-container</t>
  </si>
  <si>
    <t>2010: BANKOVF. mælk uge 38-51</t>
  </si>
  <si>
    <t>127680</t>
  </si>
  <si>
    <t>Vaske rep.</t>
  </si>
  <si>
    <t>Nytår</t>
  </si>
  <si>
    <t>Afsætning beløb</t>
  </si>
  <si>
    <t>Regnskab</t>
  </si>
  <si>
    <t>Nyt saldo</t>
  </si>
  <si>
    <t>Flytninger:</t>
  </si>
  <si>
    <t>Flytning i alt</t>
  </si>
  <si>
    <t>Variable udgifter:</t>
  </si>
  <si>
    <t>Indtægter:</t>
  </si>
  <si>
    <t>Husleje gården</t>
  </si>
  <si>
    <t>Indv vedl gården</t>
  </si>
  <si>
    <t>Ny saldo</t>
  </si>
  <si>
    <t>Ny opstilling</t>
  </si>
  <si>
    <t>Faste udgifter:</t>
  </si>
  <si>
    <t>Vaskeri</t>
  </si>
  <si>
    <t>Gården udgift</t>
  </si>
  <si>
    <t>Gården resultat</t>
  </si>
  <si>
    <t>Markedsføring</t>
  </si>
  <si>
    <t>Reducerede udgifter</t>
  </si>
  <si>
    <t>Reducerede indtægter</t>
  </si>
  <si>
    <t>Ændret resultat</t>
  </si>
  <si>
    <t>Året resultat:</t>
  </si>
  <si>
    <t>Til Cigarkasserne</t>
  </si>
  <si>
    <t>Årets resultat er derfor ændret fra et OVERskud på 46.482 til et UNDERskud på 55.153</t>
  </si>
  <si>
    <t>De reducerede udgifter fordeler sig som:</t>
  </si>
  <si>
    <t>Stigning</t>
  </si>
  <si>
    <t xml:space="preserve">Papir </t>
  </si>
  <si>
    <t xml:space="preserve">Storskrald </t>
  </si>
  <si>
    <t>400 I cont. ugetømning</t>
  </si>
  <si>
    <t xml:space="preserve">Glas </t>
  </si>
  <si>
    <t>110 I sæk ekstra ugetømning</t>
  </si>
  <si>
    <t>Renovation Privat i alt</t>
  </si>
  <si>
    <t>800 I cont. Ugetømning</t>
  </si>
  <si>
    <t>Fælleshuset i alt</t>
  </si>
  <si>
    <t>Genbrugsplads</t>
  </si>
  <si>
    <t>Farligt affald</t>
  </si>
  <si>
    <t>110 I sæk ugetømning</t>
  </si>
  <si>
    <t>50 lugetømning</t>
  </si>
  <si>
    <t>ex moms</t>
  </si>
  <si>
    <t>inkl. Moms</t>
  </si>
  <si>
    <t>Stk. pris</t>
  </si>
  <si>
    <t>Stk</t>
  </si>
  <si>
    <t>Renovation 2012 jan-jun.</t>
  </si>
  <si>
    <t xml:space="preserve"> Hus/mdr</t>
  </si>
  <si>
    <t>Årligt</t>
  </si>
  <si>
    <t>Kontrol</t>
  </si>
  <si>
    <t>Gården på Fælleshusets opkrævning</t>
  </si>
  <si>
    <t>Gårdens egen opkrævning</t>
  </si>
  <si>
    <t>Gårdrdens opkrævning via Fælleshuset</t>
  </si>
  <si>
    <t>9 måneder Nordea</t>
  </si>
  <si>
    <t>6 mdr Kreditforening</t>
  </si>
  <si>
    <t>3 mdr Finansbanken</t>
  </si>
  <si>
    <t>Renteudgift 2012 i alt</t>
  </si>
  <si>
    <t>Renteudgift 2012 gamle lån</t>
  </si>
  <si>
    <t>Rentebesparelse i 2012</t>
  </si>
  <si>
    <t>Ca. tal for renterudvikling ved omlægning til Nordea</t>
  </si>
  <si>
    <t>Halvårligt</t>
  </si>
  <si>
    <t>Årligt / hus</t>
  </si>
  <si>
    <t>Gårdens GEF</t>
  </si>
  <si>
    <t>Træk på det nye lån:</t>
  </si>
  <si>
    <t>-  Fyr</t>
  </si>
  <si>
    <t>-  Køkken</t>
  </si>
  <si>
    <t>-  Tumbler</t>
  </si>
  <si>
    <t>-  Kreditforening</t>
  </si>
  <si>
    <t>Gennemsnitlige indestående</t>
  </si>
  <si>
    <t>Gebyr til låneomlægning</t>
  </si>
</sst>
</file>

<file path=xl/styles.xml><?xml version="1.0" encoding="utf-8"?>
<styleSheet xmlns="http://schemas.openxmlformats.org/spreadsheetml/2006/main">
  <numFmts count="3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&quot;kr.&quot;\ * #,##0.00_);_(&quot;kr.&quot;\ * \(#,##0.00\);_(&quot;kr.&quot;\ * &quot;-&quot;??_);_(@_)"/>
    <numFmt numFmtId="184" formatCode=";;;"/>
    <numFmt numFmtId="185" formatCode="&quot;Ja&quot;;&quot;Ja&quot;;&quot;Nej&quot;"/>
    <numFmt numFmtId="186" formatCode="&quot;Sand&quot;;&quot;Sand&quot;;&quot;Falsk&quot;"/>
    <numFmt numFmtId="187" formatCode="&quot;Til&quot;;&quot;Til&quot;;&quot;Fra&quot;"/>
    <numFmt numFmtId="188" formatCode="[$€-2]\ #.##000_);[Red]\([$€-2]\ #.##000\)"/>
    <numFmt numFmtId="189" formatCode="#,##0_ ;[Red]\-#,##0\ "/>
    <numFmt numFmtId="190" formatCode="#,##0;[Red]#,##0"/>
    <numFmt numFmtId="191" formatCode="#,##0.000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Unicode MS"/>
      <family val="2"/>
    </font>
    <font>
      <sz val="12"/>
      <name val="Times New Roman"/>
      <family val="1"/>
    </font>
    <font>
      <sz val="10"/>
      <name val="Verdana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4" borderId="3" applyNumberFormat="0" applyAlignment="0" applyProtection="0"/>
    <xf numFmtId="0" fontId="5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33" borderId="22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33" borderId="19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 horizontal="center"/>
    </xf>
    <xf numFmtId="3" fontId="1" fillId="0" borderId="2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0" fillId="0" borderId="27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3" fillId="0" borderId="0" xfId="0" applyNumberFormat="1" applyFont="1" applyAlignment="1" applyProtection="1">
      <alignment horizontal="right"/>
      <protection hidden="1" locked="0"/>
    </xf>
    <xf numFmtId="3" fontId="3" fillId="0" borderId="26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4" fillId="0" borderId="31" xfId="0" applyNumberFormat="1" applyFont="1" applyBorder="1" applyAlignment="1" applyProtection="1">
      <alignment horizontal="right"/>
      <protection hidden="1" locked="0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4" fontId="0" fillId="0" borderId="0" xfId="0" applyNumberFormat="1" applyAlignment="1">
      <alignment horizontal="right" wrapText="1"/>
    </xf>
    <xf numFmtId="3" fontId="1" fillId="0" borderId="18" xfId="0" applyNumberFormat="1" applyFont="1" applyBorder="1" applyAlignment="1">
      <alignment horizontal="center"/>
    </xf>
    <xf numFmtId="1" fontId="3" fillId="0" borderId="0" xfId="0" applyNumberFormat="1" applyFont="1" applyAlignment="1" quotePrefix="1">
      <alignment horizontal="right"/>
    </xf>
    <xf numFmtId="2" fontId="9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9" fillId="34" borderId="0" xfId="0" applyNumberFormat="1" applyFont="1" applyFill="1" applyAlignment="1">
      <alignment wrapText="1"/>
    </xf>
    <xf numFmtId="49" fontId="9" fillId="34" borderId="0" xfId="0" applyNumberFormat="1" applyFont="1" applyFill="1" applyAlignment="1">
      <alignment wrapText="1"/>
    </xf>
    <xf numFmtId="1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1" fontId="9" fillId="35" borderId="0" xfId="0" applyNumberFormat="1" applyFont="1" applyFill="1" applyAlignment="1">
      <alignment wrapText="1"/>
    </xf>
    <xf numFmtId="49" fontId="9" fillId="35" borderId="0" xfId="0" applyNumberFormat="1" applyFont="1" applyFill="1" applyAlignment="1">
      <alignment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/>
    </xf>
    <xf numFmtId="3" fontId="2" fillId="0" borderId="28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2" fillId="0" borderId="32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1" fontId="4" fillId="0" borderId="0" xfId="0" applyNumberFormat="1" applyFont="1" applyAlignment="1" quotePrefix="1">
      <alignment horizontal="right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right" wrapText="1"/>
    </xf>
    <xf numFmtId="1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89" fontId="1" fillId="0" borderId="18" xfId="0" applyNumberFormat="1" applyFont="1" applyBorder="1" applyAlignment="1">
      <alignment/>
    </xf>
    <xf numFmtId="189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 quotePrefix="1">
      <alignment horizontal="right"/>
    </xf>
    <xf numFmtId="0" fontId="10" fillId="0" borderId="0" xfId="0" applyFon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31" xfId="0" applyNumberFormat="1" applyBorder="1" applyAlignment="1">
      <alignment/>
    </xf>
    <xf numFmtId="190" fontId="0" fillId="0" borderId="31" xfId="0" applyNumberFormat="1" applyBorder="1" applyAlignment="1">
      <alignment/>
    </xf>
    <xf numFmtId="0" fontId="1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6" xfId="0" applyNumberFormat="1" applyFont="1" applyBorder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right" vertical="top" wrapText="1"/>
    </xf>
    <xf numFmtId="4" fontId="0" fillId="0" borderId="31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 vertical="top" wrapText="1"/>
    </xf>
    <xf numFmtId="4" fontId="0" fillId="0" borderId="26" xfId="0" applyNumberFormat="1" applyBorder="1" applyAlignment="1">
      <alignment/>
    </xf>
    <xf numFmtId="1" fontId="3" fillId="0" borderId="0" xfId="0" applyNumberFormat="1" applyFont="1" applyAlignment="1" quotePrefix="1">
      <alignment horizontal="left"/>
    </xf>
    <xf numFmtId="4" fontId="0" fillId="0" borderId="33" xfId="0" applyNumberFormat="1" applyFont="1" applyBorder="1" applyAlignment="1">
      <alignment/>
    </xf>
    <xf numFmtId="0" fontId="0" fillId="0" borderId="0" xfId="0" applyBorder="1" applyAlignment="1">
      <alignment/>
    </xf>
    <xf numFmtId="4" fontId="9" fillId="0" borderId="26" xfId="0" applyNumberFormat="1" applyFont="1" applyBorder="1" applyAlignment="1">
      <alignment horizontal="right" wrapText="1"/>
    </xf>
    <xf numFmtId="4" fontId="0" fillId="0" borderId="31" xfId="0" applyNumberFormat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6"/>
  <sheetViews>
    <sheetView tabSelected="1" zoomScale="80" zoomScaleNormal="80" zoomScalePageLayoutView="0" workbookViewId="0" topLeftCell="A1">
      <selection activeCell="N27" sqref="N27"/>
    </sheetView>
  </sheetViews>
  <sheetFormatPr defaultColWidth="9.140625" defaultRowHeight="12.75"/>
  <cols>
    <col min="1" max="1" width="33.28125" style="20" customWidth="1"/>
    <col min="2" max="5" width="10.57421875" style="20" customWidth="1"/>
    <col min="6" max="6" width="11.28125" style="20" bestFit="1" customWidth="1"/>
    <col min="7" max="7" width="10.57421875" style="20" customWidth="1"/>
    <col min="8" max="8" width="13.7109375" style="20" bestFit="1" customWidth="1"/>
    <col min="9" max="9" width="10.57421875" style="20" customWidth="1"/>
    <col min="10" max="10" width="8.00390625" style="20" customWidth="1"/>
    <col min="11" max="11" width="9.28125" style="20" customWidth="1"/>
    <col min="12" max="12" width="10.57421875" style="20" customWidth="1"/>
    <col min="13" max="13" width="7.28125" style="20" customWidth="1"/>
    <col min="14" max="14" width="11.8515625" style="20" customWidth="1"/>
    <col min="15" max="16384" width="9.140625" style="20" customWidth="1"/>
  </cols>
  <sheetData>
    <row r="1" spans="6:12" ht="12.75">
      <c r="F1" s="52"/>
      <c r="G1" s="53"/>
      <c r="H1" s="53"/>
      <c r="I1" s="53"/>
      <c r="J1" s="53"/>
      <c r="L1" s="53"/>
    </row>
    <row r="2" spans="1:12" s="8" customFormat="1" ht="12.75">
      <c r="A2" s="76" t="s">
        <v>219</v>
      </c>
      <c r="B2" s="75">
        <v>2011</v>
      </c>
      <c r="C2" s="78" t="s">
        <v>220</v>
      </c>
      <c r="D2" s="75">
        <v>2012</v>
      </c>
      <c r="E2" s="78" t="s">
        <v>221</v>
      </c>
      <c r="F2" s="77">
        <v>40909</v>
      </c>
      <c r="G2" s="79" t="s">
        <v>222</v>
      </c>
      <c r="H2" s="77">
        <v>41274</v>
      </c>
      <c r="L2" s="77"/>
    </row>
    <row r="3" spans="14:15" ht="13.5" thickBot="1">
      <c r="N3" s="57" t="s">
        <v>19</v>
      </c>
      <c r="O3" s="58" t="s">
        <v>16</v>
      </c>
    </row>
    <row r="4" spans="1:15" ht="12.75">
      <c r="A4" s="23" t="s">
        <v>196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73">
        <f>B2</f>
        <v>2011</v>
      </c>
      <c r="O4" s="56">
        <v>2507</v>
      </c>
    </row>
    <row r="5" spans="1:17" ht="12.75">
      <c r="A5" s="18"/>
      <c r="B5" s="43" t="s">
        <v>1</v>
      </c>
      <c r="C5" s="44">
        <f>B2-1</f>
        <v>2010</v>
      </c>
      <c r="D5" s="47" t="s">
        <v>0</v>
      </c>
      <c r="E5" s="48">
        <f>B2</f>
        <v>2011</v>
      </c>
      <c r="F5" s="43" t="s">
        <v>1</v>
      </c>
      <c r="G5" s="48">
        <f>B2</f>
        <v>2011</v>
      </c>
      <c r="H5" s="48" t="s">
        <v>2</v>
      </c>
      <c r="I5" s="4" t="s">
        <v>17</v>
      </c>
      <c r="J5" s="47" t="s">
        <v>0</v>
      </c>
      <c r="K5" s="48">
        <f>D2</f>
        <v>2012</v>
      </c>
      <c r="L5" s="48" t="s">
        <v>324</v>
      </c>
      <c r="M5" s="38"/>
      <c r="N5" s="58" t="s">
        <v>218</v>
      </c>
      <c r="O5" s="56">
        <v>35</v>
      </c>
      <c r="Q5" s="49"/>
    </row>
    <row r="6" spans="1:15" ht="13.5" thickBot="1">
      <c r="A6" s="29" t="s">
        <v>3</v>
      </c>
      <c r="B6" s="30"/>
      <c r="C6" s="31"/>
      <c r="D6" s="32"/>
      <c r="E6" s="33"/>
      <c r="F6" s="30"/>
      <c r="G6" s="33"/>
      <c r="H6" s="95" t="s">
        <v>4</v>
      </c>
      <c r="I6" s="4"/>
      <c r="J6" s="32"/>
      <c r="K6" s="33"/>
      <c r="L6" s="95" t="s">
        <v>4</v>
      </c>
      <c r="N6" s="99">
        <f>D2</f>
        <v>2012</v>
      </c>
      <c r="O6" s="59">
        <f>SUM(O4:O5)</f>
        <v>2542</v>
      </c>
    </row>
    <row r="7" spans="1:12" ht="13.5" thickTop="1">
      <c r="A7" s="35" t="str">
        <f>Saldobalance!B6</f>
        <v>GEF ejerne</v>
      </c>
      <c r="B7" s="13"/>
      <c r="C7" s="3">
        <v>-733800</v>
      </c>
      <c r="D7" s="13"/>
      <c r="E7" s="15">
        <f>Saldobalance!C6</f>
        <v>-752145</v>
      </c>
      <c r="F7" s="13"/>
      <c r="G7" s="15">
        <f>Saldobalance!D6</f>
        <v>-746000</v>
      </c>
      <c r="H7" s="9">
        <f>(G7-E7)/E7*100</f>
        <v>-0.816996722706393</v>
      </c>
      <c r="I7" s="4"/>
      <c r="J7" s="13"/>
      <c r="K7" s="15">
        <f>-(25*12)*(O6)</f>
        <v>-762600</v>
      </c>
      <c r="L7" s="9">
        <f>(K7-E7)/E7*100</f>
        <v>1.3900245298446443</v>
      </c>
    </row>
    <row r="8" spans="1:15" ht="12.75">
      <c r="A8" s="35" t="str">
        <f>Saldobalance!B7</f>
        <v>GEF lejerne</v>
      </c>
      <c r="B8" s="13"/>
      <c r="C8" s="6">
        <v>0</v>
      </c>
      <c r="D8" s="13"/>
      <c r="E8" s="6">
        <f>Saldobalance!C7</f>
        <v>-45128.7</v>
      </c>
      <c r="F8" s="13"/>
      <c r="G8" s="6">
        <f>Saldobalance!D7</f>
        <v>-47286</v>
      </c>
      <c r="H8" s="9">
        <f>(G8-E8)/E8*100</f>
        <v>4.780328261173052</v>
      </c>
      <c r="I8" s="4"/>
      <c r="J8" s="13"/>
      <c r="K8" s="6">
        <f>-(O6*12)*1.5</f>
        <v>-45756</v>
      </c>
      <c r="L8" s="9">
        <f>(K8-E8)/E8*100</f>
        <v>1.390024529844651</v>
      </c>
      <c r="N8" s="86" t="s">
        <v>357</v>
      </c>
      <c r="O8" s="108">
        <f>O6*0.75*2</f>
        <v>3813</v>
      </c>
    </row>
    <row r="9" spans="1:14" ht="12.75">
      <c r="A9" s="35" t="str">
        <f>Saldobalance!B8</f>
        <v>Rykkergebyr og bankrente</v>
      </c>
      <c r="B9" s="13"/>
      <c r="C9" s="3">
        <v>-3947.38</v>
      </c>
      <c r="D9" s="13"/>
      <c r="E9" s="6">
        <f>Saldobalance!C8</f>
        <v>-4000</v>
      </c>
      <c r="F9" s="13"/>
      <c r="G9" s="6">
        <f>Saldobalance!D8</f>
        <v>-4681.39</v>
      </c>
      <c r="H9" s="9">
        <f>(G9-E9)/E9*100</f>
        <v>17.034750000000006</v>
      </c>
      <c r="I9" s="4"/>
      <c r="J9" s="13"/>
      <c r="K9" s="6">
        <v>-4000</v>
      </c>
      <c r="L9" s="9">
        <f>(K9-E9)/E9*100</f>
        <v>0</v>
      </c>
      <c r="N9" s="86"/>
    </row>
    <row r="10" spans="1:12" ht="12.75">
      <c r="A10" s="35" t="str">
        <f>Saldobalance!B9</f>
        <v>Andre indtægter</v>
      </c>
      <c r="B10" s="13"/>
      <c r="C10" s="51">
        <v>0</v>
      </c>
      <c r="D10" s="13"/>
      <c r="E10" s="6">
        <f>Saldobalance!C9</f>
        <v>0</v>
      </c>
      <c r="F10" s="13"/>
      <c r="G10" s="6">
        <f>Saldobalance!D9</f>
        <v>0</v>
      </c>
      <c r="H10" s="9"/>
      <c r="I10" s="4"/>
      <c r="J10" s="13"/>
      <c r="K10" s="51">
        <v>0</v>
      </c>
      <c r="L10" s="9"/>
    </row>
    <row r="11" spans="1:12" ht="13.5" thickBot="1">
      <c r="A11" s="21" t="str">
        <f>Saldobalance!B10</f>
        <v>Fællesindtægter i alt</v>
      </c>
      <c r="B11" s="37"/>
      <c r="C11" s="7">
        <f>SUM(C7:C10)</f>
        <v>-737747.38</v>
      </c>
      <c r="D11" s="37"/>
      <c r="E11" s="7">
        <f>Saldobalance!C10</f>
        <v>-801273.7</v>
      </c>
      <c r="F11" s="37"/>
      <c r="G11" s="7">
        <f>Saldobalance!D10</f>
        <v>-797967.39</v>
      </c>
      <c r="H11" s="7">
        <f>SUM(H7:H10)</f>
        <v>20.998081538466664</v>
      </c>
      <c r="I11" s="4"/>
      <c r="J11" s="37"/>
      <c r="K11" s="7">
        <f>SUM(K7:K10)</f>
        <v>-812356</v>
      </c>
      <c r="L11" s="7">
        <f>SUM(L7:L10)</f>
        <v>2.7800490596892953</v>
      </c>
    </row>
    <row r="12" spans="1:10" ht="12.75">
      <c r="A12" s="12"/>
      <c r="B12" s="1"/>
      <c r="D12" s="1"/>
      <c r="F12" s="1"/>
      <c r="I12" s="4"/>
      <c r="J12" s="1"/>
    </row>
    <row r="13" spans="1:12" ht="13.5" thickBot="1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</row>
    <row r="14" spans="1:15" ht="12.75">
      <c r="A14" s="23" t="s">
        <v>197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N14" s="86" t="s">
        <v>252</v>
      </c>
      <c r="O14" s="86"/>
    </row>
    <row r="15" spans="1:15" ht="12.75">
      <c r="A15" s="18"/>
      <c r="B15" s="45" t="str">
        <f>$B$5</f>
        <v>Regnskab </v>
      </c>
      <c r="C15" s="46">
        <f>$C$5</f>
        <v>2010</v>
      </c>
      <c r="D15" s="45" t="str">
        <f>$D$5</f>
        <v>Budget </v>
      </c>
      <c r="E15" s="46">
        <f>$E$5</f>
        <v>2011</v>
      </c>
      <c r="F15" s="45" t="str">
        <f>$F$5</f>
        <v>Regnskab </v>
      </c>
      <c r="G15" s="46">
        <f>$G$5</f>
        <v>2011</v>
      </c>
      <c r="H15" s="46" t="str">
        <f>$H$5</f>
        <v>Difference </v>
      </c>
      <c r="I15" s="4"/>
      <c r="J15" s="45" t="str">
        <f>$J$5</f>
        <v>Budget </v>
      </c>
      <c r="K15" s="46">
        <f>$K$5</f>
        <v>2012</v>
      </c>
      <c r="L15" s="46" t="str">
        <f>$L$5</f>
        <v>Stigning</v>
      </c>
      <c r="N15" s="86" t="s">
        <v>253</v>
      </c>
      <c r="O15" s="108">
        <f>K128</f>
        <v>-32.990250000031665</v>
      </c>
    </row>
    <row r="16" spans="1:15" ht="12.75">
      <c r="A16" s="29" t="s">
        <v>3</v>
      </c>
      <c r="B16" s="32"/>
      <c r="C16" s="33"/>
      <c r="D16" s="32"/>
      <c r="E16" s="33"/>
      <c r="F16" s="32"/>
      <c r="G16" s="33"/>
      <c r="H16" s="95" t="s">
        <v>4</v>
      </c>
      <c r="I16" s="4"/>
      <c r="J16" s="32"/>
      <c r="K16" s="33"/>
      <c r="L16" s="95" t="s">
        <v>4</v>
      </c>
      <c r="N16" s="87" t="s">
        <v>278</v>
      </c>
      <c r="O16" s="108">
        <f>-K66</f>
        <v>11107.950000000012</v>
      </c>
    </row>
    <row r="17" spans="1:15" ht="12.7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N17" s="86"/>
      <c r="O17" s="86"/>
    </row>
    <row r="18" spans="1:15" ht="12.75">
      <c r="A18" s="35" t="str">
        <f>Saldobalance!B14</f>
        <v>Rep og vedligehold</v>
      </c>
      <c r="B18" s="13"/>
      <c r="C18" s="2">
        <f>SUM(B19:B25)</f>
        <v>107017.03</v>
      </c>
      <c r="D18" s="13"/>
      <c r="E18" s="2">
        <f>Saldobalance!C22</f>
        <v>220000</v>
      </c>
      <c r="F18" s="13"/>
      <c r="G18" s="2">
        <f>Saldobalance!D22</f>
        <v>182208.01</v>
      </c>
      <c r="H18" s="9">
        <f>(G18-E18)/E18*100</f>
        <v>-17.178177272727268</v>
      </c>
      <c r="I18" s="4"/>
      <c r="J18" s="13"/>
      <c r="K18" s="2">
        <f>SUM(J19:J25)</f>
        <v>110000</v>
      </c>
      <c r="L18" s="9">
        <f>(K18-E18)/E18*100</f>
        <v>-50</v>
      </c>
      <c r="N18" s="86" t="s">
        <v>254</v>
      </c>
      <c r="O18" s="86"/>
    </row>
    <row r="19" spans="1:15" ht="12.75">
      <c r="A19" s="10" t="str">
        <f>Saldobalance!B15</f>
        <v>Rep maskine og anlæg</v>
      </c>
      <c r="B19" s="10">
        <v>20129.88</v>
      </c>
      <c r="C19" s="11"/>
      <c r="D19" s="10">
        <f>Saldobalance!C15</f>
        <v>25000</v>
      </c>
      <c r="E19" s="11"/>
      <c r="F19" s="10">
        <f>Saldobalance!D15</f>
        <v>21845.09</v>
      </c>
      <c r="G19" s="11"/>
      <c r="H19" s="11"/>
      <c r="I19" s="4"/>
      <c r="J19" s="10">
        <v>25000</v>
      </c>
      <c r="K19" s="11"/>
      <c r="L19" s="11"/>
      <c r="N19" s="87" t="s">
        <v>279</v>
      </c>
      <c r="O19" s="86">
        <f>O6+(-O15/(25*12))</f>
        <v>2542.1099675</v>
      </c>
    </row>
    <row r="20" spans="1:17" ht="12.75">
      <c r="A20" s="10" t="str">
        <f>Saldobalance!B16</f>
        <v>Rep og service Gasfyr</v>
      </c>
      <c r="B20" s="10">
        <v>3737.51</v>
      </c>
      <c r="C20" s="11"/>
      <c r="D20" s="10">
        <f>Saldobalance!C16</f>
        <v>10000</v>
      </c>
      <c r="E20" s="11"/>
      <c r="F20" s="10">
        <f>Saldobalance!D16</f>
        <v>21793.02</v>
      </c>
      <c r="G20" s="11"/>
      <c r="H20" s="11"/>
      <c r="I20" s="4">
        <v>1</v>
      </c>
      <c r="J20" s="10">
        <v>20000</v>
      </c>
      <c r="K20" s="11"/>
      <c r="L20" s="11"/>
      <c r="N20" s="87" t="s">
        <v>276</v>
      </c>
      <c r="O20" s="86">
        <f>O19-O6</f>
        <v>0.10996750000003885</v>
      </c>
      <c r="P20" s="129"/>
      <c r="Q20" s="129"/>
    </row>
    <row r="21" spans="1:17" ht="12.75">
      <c r="A21" s="10" t="str">
        <f>Saldobalance!B17</f>
        <v>Rep. vaskeriet</v>
      </c>
      <c r="B21" s="90">
        <f>5228.94+960+725+323</f>
        <v>7236.94</v>
      </c>
      <c r="C21" s="91"/>
      <c r="D21" s="90">
        <f>Saldobalance!C17</f>
        <v>2000</v>
      </c>
      <c r="E21" s="91"/>
      <c r="F21" s="90">
        <f>Saldobalance!D17</f>
        <v>14777.76</v>
      </c>
      <c r="G21" s="91"/>
      <c r="H21" s="91"/>
      <c r="I21" s="4">
        <v>2</v>
      </c>
      <c r="J21" s="90">
        <v>2000</v>
      </c>
      <c r="K21" s="11"/>
      <c r="L21" s="91"/>
      <c r="P21" s="73"/>
      <c r="Q21" s="73"/>
    </row>
    <row r="22" spans="1:17" ht="12.75">
      <c r="A22" s="10" t="str">
        <f>Saldobalance!B18</f>
        <v>Indv. vedl. FÆ-hus</v>
      </c>
      <c r="B22" s="10">
        <f>760.94+1508+1305</f>
        <v>3573.94</v>
      </c>
      <c r="C22" s="11"/>
      <c r="D22" s="10">
        <f>Saldobalance!C18</f>
        <v>12000</v>
      </c>
      <c r="E22" s="11"/>
      <c r="F22" s="10">
        <f>Saldobalance!D18</f>
        <v>1794.44</v>
      </c>
      <c r="G22" s="11"/>
      <c r="H22" s="11"/>
      <c r="I22" s="4"/>
      <c r="J22" s="10">
        <v>6000</v>
      </c>
      <c r="K22" s="11"/>
      <c r="L22" s="11"/>
      <c r="P22" s="73"/>
      <c r="Q22" s="73"/>
    </row>
    <row r="23" spans="1:17" ht="12.75">
      <c r="A23" s="10" t="str">
        <f>Saldobalance!B19</f>
        <v>Udv. vedl. FÆ-hus</v>
      </c>
      <c r="B23" s="10">
        <v>0</v>
      </c>
      <c r="C23" s="11"/>
      <c r="D23" s="10">
        <f>Saldobalance!C19</f>
        <v>15000</v>
      </c>
      <c r="E23" s="11"/>
      <c r="F23" s="10">
        <f>Saldobalance!D19</f>
        <v>0</v>
      </c>
      <c r="G23" s="11"/>
      <c r="H23" s="11"/>
      <c r="I23" s="4"/>
      <c r="J23" s="10">
        <v>6000</v>
      </c>
      <c r="K23" s="11"/>
      <c r="L23" s="11"/>
      <c r="P23" s="73"/>
      <c r="Q23" s="73"/>
    </row>
    <row r="24" spans="1:17" ht="12.75">
      <c r="A24" s="10" t="str">
        <f>Saldobalance!B20</f>
        <v>Vedl. fællesarealer</v>
      </c>
      <c r="B24" s="10">
        <f>55225.99+3275+13837.77</f>
        <v>72338.76</v>
      </c>
      <c r="C24" s="11"/>
      <c r="D24" s="10">
        <f>Saldobalance!C20</f>
        <v>135000</v>
      </c>
      <c r="E24" s="11"/>
      <c r="F24" s="10">
        <f>Saldobalance!D20</f>
        <v>121997.7</v>
      </c>
      <c r="G24" s="11"/>
      <c r="H24" s="11"/>
      <c r="I24" s="4">
        <v>3</v>
      </c>
      <c r="J24" s="10">
        <v>30000</v>
      </c>
      <c r="K24" s="11"/>
      <c r="L24" s="11"/>
      <c r="P24" s="73"/>
      <c r="Q24" s="73"/>
    </row>
    <row r="25" spans="1:15" ht="12.75">
      <c r="A25" s="10" t="str">
        <f>Saldobalance!B21</f>
        <v>Snerydning</v>
      </c>
      <c r="B25" s="10">
        <v>0</v>
      </c>
      <c r="C25" s="11"/>
      <c r="D25" s="10">
        <f>Saldobalance!C21</f>
        <v>21000</v>
      </c>
      <c r="E25" s="11"/>
      <c r="F25" s="10">
        <f>Saldobalance!D21</f>
        <v>0</v>
      </c>
      <c r="G25" s="11"/>
      <c r="H25" s="11"/>
      <c r="I25" s="4">
        <v>4</v>
      </c>
      <c r="J25" s="10">
        <v>21000</v>
      </c>
      <c r="K25" s="11"/>
      <c r="L25" s="11"/>
      <c r="N25" s="129"/>
      <c r="O25" s="73"/>
    </row>
    <row r="26" spans="1:12" ht="12.7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</row>
    <row r="27" spans="1:12" ht="12.75">
      <c r="A27" s="35" t="str">
        <f>Saldobalance!B24</f>
        <v>Drift Fælleshus mv.</v>
      </c>
      <c r="B27" s="13"/>
      <c r="C27" s="2">
        <f>SUM(B28:B34)</f>
        <v>42054.24</v>
      </c>
      <c r="D27" s="13"/>
      <c r="E27" s="2">
        <f>Saldobalance!C32</f>
        <v>31500</v>
      </c>
      <c r="F27" s="13"/>
      <c r="G27" s="2">
        <f>Saldobalance!D32</f>
        <v>33146.42999999999</v>
      </c>
      <c r="H27" s="9">
        <f>(G27-E27)/E27*100</f>
        <v>5.226761904761883</v>
      </c>
      <c r="I27" s="4"/>
      <c r="J27" s="13"/>
      <c r="K27" s="2">
        <f>SUM(J28:J34)</f>
        <v>35700</v>
      </c>
      <c r="L27" s="9">
        <f>(K27-E27)/E27*100</f>
        <v>13.333333333333334</v>
      </c>
    </row>
    <row r="28" spans="1:12" ht="12.75">
      <c r="A28" s="10" t="str">
        <f>Saldobalance!B25</f>
        <v>Inventar</v>
      </c>
      <c r="B28" s="10">
        <v>4018.63</v>
      </c>
      <c r="C28" s="11"/>
      <c r="D28" s="10">
        <f>Saldobalance!C25</f>
        <v>1500</v>
      </c>
      <c r="E28" s="11"/>
      <c r="F28" s="10">
        <f>Saldobalance!D25</f>
        <v>3239.9</v>
      </c>
      <c r="G28" s="11"/>
      <c r="H28" s="11"/>
      <c r="I28" s="4">
        <v>5</v>
      </c>
      <c r="J28" s="10">
        <v>1500</v>
      </c>
      <c r="K28" s="11"/>
      <c r="L28" s="11"/>
    </row>
    <row r="29" spans="1:12" ht="12.75">
      <c r="A29" s="10" t="str">
        <f>Saldobalance!B26</f>
        <v>Køkkenudstyr</v>
      </c>
      <c r="B29" s="10">
        <v>17277.75</v>
      </c>
      <c r="C29" s="11"/>
      <c r="D29" s="10">
        <f>Saldobalance!C26</f>
        <v>12000</v>
      </c>
      <c r="E29" s="11"/>
      <c r="F29" s="10">
        <f>Saldobalance!D26</f>
        <v>9067.44</v>
      </c>
      <c r="G29" s="11"/>
      <c r="H29" s="11"/>
      <c r="I29" s="4"/>
      <c r="J29" s="10">
        <v>9000</v>
      </c>
      <c r="K29" s="11"/>
      <c r="L29" s="11"/>
    </row>
    <row r="30" spans="1:12" ht="12.75">
      <c r="A30" s="10" t="str">
        <f>Saldobalance!B27</f>
        <v>EL-artik, pærer mv</v>
      </c>
      <c r="B30" s="10">
        <v>1864.19</v>
      </c>
      <c r="C30" s="11"/>
      <c r="D30" s="10">
        <f>Saldobalance!C27</f>
        <v>2000</v>
      </c>
      <c r="E30" s="11"/>
      <c r="F30" s="10">
        <f>Saldobalance!D27</f>
        <v>1034.41</v>
      </c>
      <c r="G30" s="11"/>
      <c r="H30" s="11"/>
      <c r="I30" s="4"/>
      <c r="J30" s="10">
        <v>2000</v>
      </c>
      <c r="K30" s="11"/>
      <c r="L30" s="11"/>
    </row>
    <row r="31" spans="1:12" ht="12.75">
      <c r="A31" s="10" t="str">
        <f>Saldobalance!B28</f>
        <v>Rengøringsmidler/-artikler</v>
      </c>
      <c r="B31" s="10">
        <v>10700.38</v>
      </c>
      <c r="C31" s="11"/>
      <c r="D31" s="10">
        <f>Saldobalance!C28</f>
        <v>10000</v>
      </c>
      <c r="E31" s="11"/>
      <c r="F31" s="10">
        <f>Saldobalance!D28</f>
        <v>12434.16</v>
      </c>
      <c r="G31" s="11"/>
      <c r="H31" s="11"/>
      <c r="I31" s="4"/>
      <c r="J31" s="10">
        <v>18000</v>
      </c>
      <c r="K31" s="11"/>
      <c r="L31" s="11"/>
    </row>
    <row r="32" spans="1:12" ht="12.75">
      <c r="A32" s="10" t="str">
        <f>Saldobalance!B29</f>
        <v>Papir, plast, lys, blomster</v>
      </c>
      <c r="B32" s="10">
        <v>358</v>
      </c>
      <c r="C32" s="11"/>
      <c r="D32" s="10">
        <f>Saldobalance!C29</f>
        <v>2000</v>
      </c>
      <c r="E32" s="11"/>
      <c r="F32" s="10">
        <f>Saldobalance!D29</f>
        <v>5359.83</v>
      </c>
      <c r="G32" s="11"/>
      <c r="H32" s="11"/>
      <c r="I32" s="4">
        <v>6</v>
      </c>
      <c r="J32" s="10">
        <v>1200</v>
      </c>
      <c r="K32" s="11"/>
      <c r="L32" s="11"/>
    </row>
    <row r="33" spans="1:12" ht="12.75">
      <c r="A33" s="10" t="str">
        <f>Saldobalance!B30</f>
        <v>Krydderier</v>
      </c>
      <c r="B33" s="10">
        <v>1568.94</v>
      </c>
      <c r="C33" s="11"/>
      <c r="D33" s="10">
        <f>Saldobalance!C30</f>
        <v>2000</v>
      </c>
      <c r="E33" s="11"/>
      <c r="F33" s="10">
        <f>Saldobalance!D30</f>
        <v>1310.69</v>
      </c>
      <c r="G33" s="11"/>
      <c r="H33" s="11"/>
      <c r="I33" s="4"/>
      <c r="J33" s="10">
        <v>2000</v>
      </c>
      <c r="K33" s="11"/>
      <c r="L33" s="11"/>
    </row>
    <row r="34" spans="1:12" ht="12.75">
      <c r="A34" s="10" t="str">
        <f>Saldobalance!B31</f>
        <v>Diverse</v>
      </c>
      <c r="B34" s="10">
        <v>6266.35</v>
      </c>
      <c r="C34" s="11"/>
      <c r="D34" s="10">
        <f>Saldobalance!C31</f>
        <v>2000</v>
      </c>
      <c r="E34" s="11"/>
      <c r="F34" s="10">
        <f>Saldobalance!D31</f>
        <v>700</v>
      </c>
      <c r="G34" s="11"/>
      <c r="H34" s="11"/>
      <c r="I34" s="4"/>
      <c r="J34" s="10">
        <v>2000</v>
      </c>
      <c r="K34" s="11"/>
      <c r="L34" s="11"/>
    </row>
    <row r="35" spans="1:12" ht="12.7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</row>
    <row r="36" spans="1:12" ht="12.75">
      <c r="A36" s="35" t="str">
        <f>Saldobalance!B34</f>
        <v>Arrang/kultur/gaver</v>
      </c>
      <c r="B36" s="13"/>
      <c r="C36" s="2">
        <f>SUM(B37:B46)</f>
        <v>29476.15</v>
      </c>
      <c r="D36" s="13"/>
      <c r="E36" s="2">
        <f>Saldobalance!C45</f>
        <v>53000</v>
      </c>
      <c r="F36" s="13"/>
      <c r="G36" s="2">
        <f>Saldobalance!D45</f>
        <v>60744.11</v>
      </c>
      <c r="H36" s="9">
        <f>(G36-E36)/E36*100</f>
        <v>14.611528301886795</v>
      </c>
      <c r="I36" s="4"/>
      <c r="J36" s="13"/>
      <c r="K36" s="2">
        <f>SUM(J37:J46)</f>
        <v>53000</v>
      </c>
      <c r="L36" s="9">
        <f>(K36-E36)/E36*100</f>
        <v>0</v>
      </c>
    </row>
    <row r="37" spans="1:12" ht="12.75">
      <c r="A37" s="10" t="str">
        <f>Saldobalance!B35</f>
        <v>Gaver</v>
      </c>
      <c r="B37" s="10">
        <v>3419.5</v>
      </c>
      <c r="C37" s="11"/>
      <c r="D37" s="10">
        <f>Saldobalance!C35</f>
        <v>3000</v>
      </c>
      <c r="E37" s="11"/>
      <c r="F37" s="10">
        <f>Saldobalance!D35</f>
        <v>9117.5</v>
      </c>
      <c r="G37" s="11"/>
      <c r="H37" s="11"/>
      <c r="I37" s="4">
        <v>7</v>
      </c>
      <c r="J37" s="10">
        <v>6000</v>
      </c>
      <c r="K37" s="11"/>
      <c r="L37" s="11"/>
    </row>
    <row r="38" spans="1:12" ht="12.75">
      <c r="A38" s="10" t="str">
        <f>Saldobalance!B36</f>
        <v>Fester/arrangementer</v>
      </c>
      <c r="B38" s="10">
        <v>0</v>
      </c>
      <c r="C38" s="11"/>
      <c r="D38" s="10">
        <f>Saldobalance!C36</f>
        <v>1000</v>
      </c>
      <c r="E38" s="11"/>
      <c r="F38" s="10">
        <f>Saldobalance!D36</f>
        <v>1552</v>
      </c>
      <c r="G38" s="11"/>
      <c r="H38" s="11"/>
      <c r="I38" s="4"/>
      <c r="J38" s="10">
        <v>4000</v>
      </c>
      <c r="K38" s="11"/>
      <c r="L38" s="11"/>
    </row>
    <row r="39" spans="1:12" ht="12.75">
      <c r="A39" s="10" t="str">
        <f>Saldobalance!B37</f>
        <v>Fortæring arbejdsweekends</v>
      </c>
      <c r="B39" s="10">
        <v>5965.05</v>
      </c>
      <c r="C39" s="11"/>
      <c r="D39" s="10">
        <f>Saldobalance!C37</f>
        <v>8000</v>
      </c>
      <c r="E39" s="11"/>
      <c r="F39" s="10">
        <f>Saldobalance!D37</f>
        <v>12949.7</v>
      </c>
      <c r="G39" s="11"/>
      <c r="H39" s="11"/>
      <c r="I39" s="4">
        <v>8</v>
      </c>
      <c r="J39" s="10">
        <v>8000</v>
      </c>
      <c r="K39" s="11"/>
      <c r="L39" s="11"/>
    </row>
    <row r="40" spans="1:12" ht="12.75">
      <c r="A40" s="10" t="str">
        <f>Saldobalance!B38</f>
        <v>Fortæring generalforsamling</v>
      </c>
      <c r="B40" s="10">
        <v>1236</v>
      </c>
      <c r="C40" s="11"/>
      <c r="D40" s="10">
        <f>Saldobalance!C38</f>
        <v>2000</v>
      </c>
      <c r="E40" s="11"/>
      <c r="F40" s="10">
        <f>Saldobalance!D38</f>
        <v>2041</v>
      </c>
      <c r="G40" s="11"/>
      <c r="H40" s="11"/>
      <c r="I40" s="4"/>
      <c r="J40" s="10">
        <v>2000</v>
      </c>
      <c r="K40" s="11"/>
      <c r="L40" s="11"/>
    </row>
    <row r="41" spans="1:12" ht="12.75">
      <c r="A41" s="10" t="str">
        <f>Saldobalance!B39</f>
        <v>Adventsarrangementer</v>
      </c>
      <c r="B41" s="10">
        <v>3263.5</v>
      </c>
      <c r="C41" s="11"/>
      <c r="D41" s="10">
        <f>Saldobalance!C39</f>
        <v>4000</v>
      </c>
      <c r="E41" s="11"/>
      <c r="F41" s="10">
        <f>Saldobalance!D39</f>
        <v>3387.66</v>
      </c>
      <c r="G41" s="11"/>
      <c r="H41" s="11"/>
      <c r="I41" s="4"/>
      <c r="J41" s="10">
        <v>4000</v>
      </c>
      <c r="K41" s="11"/>
      <c r="L41" s="11"/>
    </row>
    <row r="42" spans="1:12" ht="12.75">
      <c r="A42" s="10" t="str">
        <f>Saldobalance!B40</f>
        <v>Fastelavn</v>
      </c>
      <c r="B42" s="10">
        <v>945.65</v>
      </c>
      <c r="C42" s="11"/>
      <c r="D42" s="10">
        <f>Saldobalance!C40</f>
        <v>1000</v>
      </c>
      <c r="E42" s="11"/>
      <c r="F42" s="10">
        <f>Saldobalance!D40</f>
        <v>2204</v>
      </c>
      <c r="G42" s="11"/>
      <c r="H42" s="11"/>
      <c r="I42" s="4"/>
      <c r="J42" s="10">
        <v>2000</v>
      </c>
      <c r="K42" s="11"/>
      <c r="L42" s="11"/>
    </row>
    <row r="43" spans="1:12" ht="12.75">
      <c r="A43" s="10" t="str">
        <f>Saldobalance!B41</f>
        <v>Cafemøder</v>
      </c>
      <c r="B43" s="10">
        <v>0</v>
      </c>
      <c r="C43" s="11"/>
      <c r="D43" s="10">
        <f>Saldobalance!C41</f>
        <v>1000</v>
      </c>
      <c r="E43" s="11"/>
      <c r="F43" s="10">
        <f>Saldobalance!D41</f>
        <v>0</v>
      </c>
      <c r="G43" s="11"/>
      <c r="H43" s="11"/>
      <c r="I43" s="4"/>
      <c r="J43" s="10">
        <v>1000</v>
      </c>
      <c r="K43" s="11"/>
      <c r="L43" s="11"/>
    </row>
    <row r="44" spans="1:12" ht="12.75">
      <c r="A44" s="10" t="str">
        <f>Saldobalance!B42</f>
        <v>Bakkeweekend</v>
      </c>
      <c r="B44" s="10">
        <f>17052.4-4570.95</f>
        <v>12481.45</v>
      </c>
      <c r="C44" s="11"/>
      <c r="D44" s="10">
        <f>Saldobalance!C42</f>
        <v>30000</v>
      </c>
      <c r="E44" s="11"/>
      <c r="F44" s="10">
        <f>Saldobalance!D42</f>
        <v>27883.25</v>
      </c>
      <c r="G44" s="11"/>
      <c r="H44" s="11"/>
      <c r="I44" s="4"/>
      <c r="J44" s="10">
        <v>25000</v>
      </c>
      <c r="K44" s="11"/>
      <c r="L44" s="11"/>
    </row>
    <row r="45" spans="1:12" ht="12.75">
      <c r="A45" s="10" t="str">
        <f>Saldobalance!B43</f>
        <v>Skt. Hans</v>
      </c>
      <c r="B45" s="10">
        <v>0</v>
      </c>
      <c r="C45" s="11"/>
      <c r="D45" s="10">
        <f>Saldobalance!C43</f>
        <v>1000</v>
      </c>
      <c r="E45" s="11"/>
      <c r="F45" s="10">
        <f>Saldobalance!D43</f>
        <v>534</v>
      </c>
      <c r="G45" s="11"/>
      <c r="H45" s="11"/>
      <c r="I45" s="4"/>
      <c r="J45" s="10">
        <v>1000</v>
      </c>
      <c r="K45" s="11"/>
      <c r="L45" s="11"/>
    </row>
    <row r="46" spans="1:12" ht="12.75">
      <c r="A46" s="10" t="str">
        <f>Saldobalance!B44</f>
        <v>Kultur</v>
      </c>
      <c r="B46" s="10">
        <v>2165</v>
      </c>
      <c r="C46" s="11"/>
      <c r="D46" s="10">
        <f>Saldobalance!C44</f>
        <v>2000</v>
      </c>
      <c r="E46" s="11"/>
      <c r="F46" s="10">
        <f>Saldobalance!D44</f>
        <v>1075</v>
      </c>
      <c r="G46" s="11"/>
      <c r="H46" s="11"/>
      <c r="I46" s="4"/>
      <c r="J46" s="10">
        <v>0</v>
      </c>
      <c r="K46" s="11"/>
      <c r="L46" s="11"/>
    </row>
    <row r="47" spans="1:12" ht="12.75">
      <c r="A47" s="34"/>
      <c r="B47" s="34"/>
      <c r="C47" s="36"/>
      <c r="D47" s="34"/>
      <c r="E47" s="36"/>
      <c r="F47" s="34"/>
      <c r="G47" s="36"/>
      <c r="H47" s="36"/>
      <c r="I47" s="4"/>
      <c r="J47" s="34"/>
      <c r="K47" s="36"/>
      <c r="L47" s="36"/>
    </row>
    <row r="48" spans="1:12" ht="12.75">
      <c r="A48" s="35" t="str">
        <f>Saldobalance!B47</f>
        <v>Informationsteknologi</v>
      </c>
      <c r="B48" s="13"/>
      <c r="C48" s="2">
        <f>SUM(B49:B52)</f>
        <v>6304.75</v>
      </c>
      <c r="D48" s="13"/>
      <c r="E48" s="2">
        <f>Saldobalance!C52</f>
        <v>7400</v>
      </c>
      <c r="F48" s="13"/>
      <c r="G48" s="2">
        <f>Saldobalance!D52</f>
        <v>10365.73</v>
      </c>
      <c r="H48" s="9">
        <f>(G48-E48)/E48*100</f>
        <v>40.077432432432424</v>
      </c>
      <c r="I48" s="4"/>
      <c r="J48" s="13"/>
      <c r="K48" s="2">
        <f>SUM(J49:J52)</f>
        <v>11000</v>
      </c>
      <c r="L48" s="9">
        <f>(K48-E48)/E48*100</f>
        <v>48.64864864864865</v>
      </c>
    </row>
    <row r="49" spans="1:12" ht="12.75">
      <c r="A49" s="10" t="str">
        <f>Saldobalance!B48</f>
        <v>Telefon / bredbånd</v>
      </c>
      <c r="B49" s="10">
        <f>804+3100.75</f>
        <v>3904.75</v>
      </c>
      <c r="C49" s="11"/>
      <c r="D49" s="10">
        <f>Saldobalance!C48</f>
        <v>2500</v>
      </c>
      <c r="E49" s="11"/>
      <c r="F49" s="10">
        <f>Saldobalance!D48</f>
        <v>3647.81</v>
      </c>
      <c r="G49" s="11"/>
      <c r="H49" s="11"/>
      <c r="I49" s="4">
        <v>9</v>
      </c>
      <c r="J49" s="10">
        <v>4000</v>
      </c>
      <c r="K49" s="11"/>
      <c r="L49" s="11"/>
    </row>
    <row r="50" spans="1:12" ht="12.75">
      <c r="A50" s="10" t="str">
        <f>Saldobalance!B49</f>
        <v>TV + licens</v>
      </c>
      <c r="B50" s="10">
        <f>48000/20</f>
        <v>2400</v>
      </c>
      <c r="C50" s="11"/>
      <c r="D50" s="10">
        <f>Saldobalance!C49</f>
        <v>2400</v>
      </c>
      <c r="E50" s="11"/>
      <c r="F50" s="10">
        <f>Saldobalance!D49</f>
        <v>4586.7</v>
      </c>
      <c r="G50" s="11"/>
      <c r="H50" s="11"/>
      <c r="I50" s="4">
        <v>10</v>
      </c>
      <c r="J50" s="10">
        <v>5000</v>
      </c>
      <c r="K50" s="11"/>
      <c r="L50" s="11"/>
    </row>
    <row r="51" spans="1:12" ht="12.75">
      <c r="A51" s="10" t="str">
        <f>Saldobalance!B50</f>
        <v>Hjemmeside/e-mail</v>
      </c>
      <c r="B51" s="10">
        <v>0</v>
      </c>
      <c r="C51" s="11"/>
      <c r="D51" s="10">
        <f>Saldobalance!C50</f>
        <v>2500</v>
      </c>
      <c r="E51" s="11"/>
      <c r="F51" s="10">
        <f>Saldobalance!D50</f>
        <v>1537.22</v>
      </c>
      <c r="G51" s="11"/>
      <c r="H51" s="11"/>
      <c r="I51" s="4">
        <v>11</v>
      </c>
      <c r="J51" s="10">
        <v>1000</v>
      </c>
      <c r="K51" s="11"/>
      <c r="L51" s="11"/>
    </row>
    <row r="52" spans="1:12" ht="12.75">
      <c r="A52" s="10" t="str">
        <f>Saldobalance!B51</f>
        <v>Aviser og tidsskrifter</v>
      </c>
      <c r="B52" s="10">
        <v>0</v>
      </c>
      <c r="C52" s="11"/>
      <c r="D52" s="10">
        <f>Saldobalance!C51</f>
        <v>0</v>
      </c>
      <c r="E52" s="11"/>
      <c r="F52" s="10">
        <f>Saldobalance!D51</f>
        <v>594</v>
      </c>
      <c r="G52" s="11"/>
      <c r="H52" s="11"/>
      <c r="I52" s="4">
        <v>12</v>
      </c>
      <c r="J52" s="10">
        <v>1000</v>
      </c>
      <c r="K52" s="11"/>
      <c r="L52" s="11"/>
    </row>
    <row r="53" spans="1:12" ht="12.75">
      <c r="A53" s="34"/>
      <c r="B53" s="34"/>
      <c r="C53" s="36"/>
      <c r="D53" s="34"/>
      <c r="E53" s="36"/>
      <c r="F53" s="34"/>
      <c r="G53" s="36"/>
      <c r="H53" s="36"/>
      <c r="I53" s="4"/>
      <c r="J53" s="34"/>
      <c r="K53" s="36"/>
      <c r="L53" s="36"/>
    </row>
    <row r="54" spans="1:12" ht="12.75">
      <c r="A54" s="35" t="str">
        <f>Saldobalance!B53</f>
        <v>Anlægsarbejder</v>
      </c>
      <c r="B54" s="13"/>
      <c r="C54" s="5">
        <v>210</v>
      </c>
      <c r="D54" s="13"/>
      <c r="E54" s="2">
        <f>Saldobalance!C53</f>
        <v>40000</v>
      </c>
      <c r="F54" s="13"/>
      <c r="G54" s="2">
        <f>Saldobalance!D53</f>
        <v>103929.48</v>
      </c>
      <c r="H54" s="9">
        <f>(G54-E54)/E54*100</f>
        <v>159.8237</v>
      </c>
      <c r="I54" s="4">
        <v>13</v>
      </c>
      <c r="J54" s="13"/>
      <c r="K54" s="2">
        <v>60000</v>
      </c>
      <c r="L54" s="9">
        <f>(K54-E54)/E54*100</f>
        <v>50</v>
      </c>
    </row>
    <row r="55" spans="1:12" ht="12.75">
      <c r="A55" s="19"/>
      <c r="B55" s="13"/>
      <c r="C55" s="5"/>
      <c r="D55" s="13"/>
      <c r="E55" s="2"/>
      <c r="F55" s="13"/>
      <c r="G55" s="2"/>
      <c r="H55" s="2"/>
      <c r="I55" s="4"/>
      <c r="J55" s="13"/>
      <c r="K55" s="2"/>
      <c r="L55" s="2"/>
    </row>
    <row r="56" spans="1:12" ht="12.75">
      <c r="A56" s="35" t="str">
        <f>Saldobalance!B54</f>
        <v>Nyanskaffelse</v>
      </c>
      <c r="B56" s="13"/>
      <c r="C56" s="5">
        <v>0</v>
      </c>
      <c r="D56" s="13"/>
      <c r="E56" s="2">
        <f>Saldobalance!C54</f>
        <v>20000</v>
      </c>
      <c r="F56" s="13"/>
      <c r="G56" s="2">
        <f>Saldobalance!D54</f>
        <v>4143.5</v>
      </c>
      <c r="H56" s="9">
        <f>(G56-E56)/E56*100</f>
        <v>-79.2825</v>
      </c>
      <c r="I56" s="4"/>
      <c r="J56" s="13"/>
      <c r="K56" s="2">
        <v>15000</v>
      </c>
      <c r="L56" s="9">
        <f>(K56-E56)/E56*100</f>
        <v>-25</v>
      </c>
    </row>
    <row r="57" spans="1:12" ht="12.75">
      <c r="A57" s="35"/>
      <c r="B57" s="13"/>
      <c r="C57" s="5"/>
      <c r="D57" s="13"/>
      <c r="E57" s="2"/>
      <c r="F57" s="13"/>
      <c r="G57" s="2"/>
      <c r="H57" s="9"/>
      <c r="I57" s="4"/>
      <c r="J57" s="13"/>
      <c r="K57" s="2"/>
      <c r="L57" s="9"/>
    </row>
    <row r="58" spans="1:12" ht="12.75">
      <c r="A58" s="35" t="str">
        <f>Saldobalance!B55</f>
        <v>Markedsføring</v>
      </c>
      <c r="B58" s="13"/>
      <c r="C58" s="5">
        <v>1477</v>
      </c>
      <c r="D58" s="13"/>
      <c r="E58" s="2">
        <f>Saldobalance!C55</f>
        <v>15000</v>
      </c>
      <c r="F58" s="13"/>
      <c r="G58" s="2">
        <f>Saldobalance!D55</f>
        <v>0</v>
      </c>
      <c r="H58" s="9">
        <f>(G58-E58)/E58*100</f>
        <v>-100</v>
      </c>
      <c r="I58" s="4">
        <v>14</v>
      </c>
      <c r="J58" s="13"/>
      <c r="K58" s="2">
        <v>15000</v>
      </c>
      <c r="L58" s="9">
        <f>(K58-E58)/E58*100</f>
        <v>0</v>
      </c>
    </row>
    <row r="59" spans="1:12" ht="12.75">
      <c r="A59" s="35"/>
      <c r="B59" s="13"/>
      <c r="C59" s="5"/>
      <c r="D59" s="13"/>
      <c r="E59" s="2"/>
      <c r="F59" s="13"/>
      <c r="G59" s="2"/>
      <c r="H59" s="9"/>
      <c r="I59" s="4"/>
      <c r="J59" s="13"/>
      <c r="K59" s="2"/>
      <c r="L59" s="9"/>
    </row>
    <row r="60" spans="1:12" ht="12.75">
      <c r="A60" s="35" t="str">
        <f>Saldobalance!B57</f>
        <v>Får</v>
      </c>
      <c r="B60" s="13"/>
      <c r="C60" s="5">
        <v>0</v>
      </c>
      <c r="D60" s="13"/>
      <c r="E60" s="2">
        <f>Saldobalance!C62</f>
        <v>0</v>
      </c>
      <c r="F60" s="13"/>
      <c r="G60" s="2">
        <f>Saldobalance!D62</f>
        <v>0</v>
      </c>
      <c r="H60" s="9" t="e">
        <f>(G60-E60)/E60*100</f>
        <v>#DIV/0!</v>
      </c>
      <c r="I60" s="4"/>
      <c r="J60" s="13"/>
      <c r="K60" s="2">
        <f>K61+SUM(J62:J64)</f>
        <v>8000</v>
      </c>
      <c r="L60" s="9" t="e">
        <f>(K60-E60)/E60*100</f>
        <v>#DIV/0!</v>
      </c>
    </row>
    <row r="61" spans="1:12" ht="12.75">
      <c r="A61" s="10" t="str">
        <f>Saldobalance!B58</f>
        <v>Salg af fåreprodukter</v>
      </c>
      <c r="B61" s="10"/>
      <c r="C61" s="89">
        <v>0</v>
      </c>
      <c r="D61" s="10"/>
      <c r="E61" s="89">
        <v>8</v>
      </c>
      <c r="F61" s="10"/>
      <c r="G61" s="89">
        <v>0</v>
      </c>
      <c r="H61" s="11"/>
      <c r="I61" s="4"/>
      <c r="J61" s="10"/>
      <c r="K61" s="89">
        <v>-27000</v>
      </c>
      <c r="L61" s="11"/>
    </row>
    <row r="62" spans="1:12" ht="12.75">
      <c r="A62" s="10" t="str">
        <f>Saldobalance!B59</f>
        <v>Løbende udgifter/får</v>
      </c>
      <c r="B62" s="10">
        <v>0</v>
      </c>
      <c r="C62" s="11"/>
      <c r="D62" s="10">
        <f>Saldobalance!C59</f>
        <v>0</v>
      </c>
      <c r="E62" s="11"/>
      <c r="F62" s="10">
        <f>Saldobalance!D59</f>
        <v>0</v>
      </c>
      <c r="G62" s="11"/>
      <c r="H62" s="11"/>
      <c r="I62" s="4"/>
      <c r="J62" s="10">
        <v>26000</v>
      </c>
      <c r="K62" s="11"/>
      <c r="L62" s="11"/>
    </row>
    <row r="63" spans="1:12" ht="12.75">
      <c r="A63" s="10" t="str">
        <f>Saldobalance!B60</f>
        <v>Engangsudgifter/får</v>
      </c>
      <c r="B63" s="10">
        <v>0</v>
      </c>
      <c r="C63" s="11"/>
      <c r="D63" s="10">
        <f>Saldobalance!C60</f>
        <v>0</v>
      </c>
      <c r="E63" s="11"/>
      <c r="F63" s="10">
        <f>Saldobalance!D60</f>
        <v>0</v>
      </c>
      <c r="G63" s="11"/>
      <c r="H63" s="11"/>
      <c r="I63" s="4"/>
      <c r="J63" s="10">
        <v>4000</v>
      </c>
      <c r="K63" s="11"/>
      <c r="L63" s="11"/>
    </row>
    <row r="64" spans="1:12" ht="12.75">
      <c r="A64" s="10" t="str">
        <f>Saldobalance!B61</f>
        <v>Årets udvikling/får</v>
      </c>
      <c r="B64" s="10">
        <v>0</v>
      </c>
      <c r="C64" s="11"/>
      <c r="D64" s="10">
        <f>Saldobalance!C61</f>
        <v>0</v>
      </c>
      <c r="E64" s="11"/>
      <c r="F64" s="10">
        <f>Saldobalance!D61</f>
        <v>0</v>
      </c>
      <c r="G64" s="11"/>
      <c r="H64" s="11"/>
      <c r="I64" s="4"/>
      <c r="J64" s="10">
        <v>5000</v>
      </c>
      <c r="K64" s="11"/>
      <c r="L64" s="11"/>
    </row>
    <row r="65" spans="1:12" ht="12.75">
      <c r="A65" s="35"/>
      <c r="B65" s="13"/>
      <c r="C65" s="36"/>
      <c r="D65" s="13"/>
      <c r="E65" s="36"/>
      <c r="F65" s="13"/>
      <c r="G65" s="36"/>
      <c r="H65" s="36"/>
      <c r="I65" s="4"/>
      <c r="J65" s="13"/>
      <c r="K65" s="36"/>
      <c r="L65" s="36"/>
    </row>
    <row r="66" spans="1:12" ht="12.75">
      <c r="A66" s="35" t="str">
        <f>Saldobalance!B64</f>
        <v>Gården</v>
      </c>
      <c r="B66" s="13"/>
      <c r="C66" s="5">
        <f>8346</f>
        <v>8346</v>
      </c>
      <c r="D66" s="13"/>
      <c r="E66" s="2">
        <f>Saldobalance!C75</f>
        <v>-3128.2000000000044</v>
      </c>
      <c r="F66" s="13"/>
      <c r="G66" s="2">
        <f>Saldobalance!D75</f>
        <v>-30071.229999999996</v>
      </c>
      <c r="H66" s="9">
        <f>(G66-E66)/E66*100</f>
        <v>861.2949939262181</v>
      </c>
      <c r="I66" s="4"/>
      <c r="J66" s="13"/>
      <c r="K66" s="2">
        <f>K67+K68+SUM(J69:J75)</f>
        <v>-11107.950000000012</v>
      </c>
      <c r="L66" s="9">
        <f>(K66-E66)/E66*100</f>
        <v>255.09078703407698</v>
      </c>
    </row>
    <row r="67" spans="1:12" ht="12.75">
      <c r="A67" s="10" t="str">
        <f>Saldobalance!B65</f>
        <v>Huslejeopkrævet</v>
      </c>
      <c r="B67" s="90"/>
      <c r="C67" s="109" t="s">
        <v>298</v>
      </c>
      <c r="D67" s="90"/>
      <c r="E67" s="91">
        <f>Saldobalance!C65</f>
        <v>-135360</v>
      </c>
      <c r="F67" s="90"/>
      <c r="G67" s="91">
        <f>Saldobalance!D65</f>
        <v>-135360</v>
      </c>
      <c r="H67" s="11"/>
      <c r="I67" s="4"/>
      <c r="J67" s="90"/>
      <c r="K67" s="91">
        <v>-135360</v>
      </c>
      <c r="L67" s="11"/>
    </row>
    <row r="68" spans="1:12" ht="12.75">
      <c r="A68" s="10" t="str">
        <f>Saldobalance!B67</f>
        <v>EL opkrævet</v>
      </c>
      <c r="B68" s="90"/>
      <c r="C68" s="91">
        <v>0</v>
      </c>
      <c r="D68" s="90"/>
      <c r="E68" s="91">
        <f>Saldobalance!C67</f>
        <v>-9600</v>
      </c>
      <c r="F68" s="90"/>
      <c r="G68" s="91">
        <f>Saldobalance!D67</f>
        <v>-19400</v>
      </c>
      <c r="H68" s="11"/>
      <c r="I68" s="4">
        <v>15</v>
      </c>
      <c r="J68" s="90"/>
      <c r="K68" s="91">
        <v>-10000</v>
      </c>
      <c r="L68" s="11"/>
    </row>
    <row r="69" spans="1:12" ht="12.75">
      <c r="A69" s="10" t="str">
        <f>Saldobalance!B68</f>
        <v>DONG - EL</v>
      </c>
      <c r="B69" s="90" t="s">
        <v>216</v>
      </c>
      <c r="C69" s="91"/>
      <c r="D69" s="90">
        <f>Saldobalance!C68</f>
        <v>5600</v>
      </c>
      <c r="E69" s="91"/>
      <c r="F69" s="90">
        <f>Saldobalance!D68</f>
        <v>11407.57</v>
      </c>
      <c r="G69" s="91"/>
      <c r="H69" s="11"/>
      <c r="I69" s="4">
        <v>16</v>
      </c>
      <c r="J69" s="90">
        <v>10000</v>
      </c>
      <c r="K69" s="91"/>
      <c r="L69" s="11"/>
    </row>
    <row r="70" spans="1:12" s="3" customFormat="1" ht="12.75">
      <c r="A70" s="10" t="str">
        <f>Saldobalance!B69</f>
        <v>GEF</v>
      </c>
      <c r="B70" s="90">
        <v>0</v>
      </c>
      <c r="C70" s="91"/>
      <c r="D70" s="90">
        <f>Saldobalance!C69</f>
        <v>47288.7</v>
      </c>
      <c r="E70" s="91"/>
      <c r="F70" s="90">
        <f>Saldobalance!D69</f>
        <v>47286</v>
      </c>
      <c r="G70" s="91"/>
      <c r="H70" s="11"/>
      <c r="I70" s="4"/>
      <c r="J70" s="90">
        <f>-K8</f>
        <v>45756</v>
      </c>
      <c r="K70" s="91"/>
      <c r="L70" s="11"/>
    </row>
    <row r="71" spans="1:12" s="3" customFormat="1" ht="12.75">
      <c r="A71" s="10" t="str">
        <f>Saldobalance!B70</f>
        <v>Renovation</v>
      </c>
      <c r="B71" s="90">
        <v>16862</v>
      </c>
      <c r="C71" s="91"/>
      <c r="D71" s="90">
        <f>Saldobalance!C70</f>
        <v>2725</v>
      </c>
      <c r="E71" s="91"/>
      <c r="F71" s="90">
        <f>Saldobalance!D70</f>
        <v>2725</v>
      </c>
      <c r="G71" s="91"/>
      <c r="H71" s="11"/>
      <c r="I71" s="4"/>
      <c r="J71" s="90">
        <v>4107</v>
      </c>
      <c r="K71" s="91"/>
      <c r="L71" s="11"/>
    </row>
    <row r="72" spans="1:12" s="3" customFormat="1" ht="12.75">
      <c r="A72" s="10" t="str">
        <f>Saldobalance!B71</f>
        <v>Ejendomsskat</v>
      </c>
      <c r="B72" s="90">
        <v>32168</v>
      </c>
      <c r="C72" s="91"/>
      <c r="D72" s="90">
        <f>Saldobalance!C71</f>
        <v>34418.1</v>
      </c>
      <c r="E72" s="91"/>
      <c r="F72" s="90">
        <f>Saldobalance!D71</f>
        <v>36380.1</v>
      </c>
      <c r="G72" s="91"/>
      <c r="H72" s="11"/>
      <c r="I72" s="4"/>
      <c r="J72" s="90">
        <f>38389.05</f>
        <v>38389.05</v>
      </c>
      <c r="K72" s="91"/>
      <c r="L72" s="11"/>
    </row>
    <row r="73" spans="1:12" s="3" customFormat="1" ht="12.75">
      <c r="A73" s="10" t="str">
        <f>Saldobalance!B72</f>
        <v>Forsikringer - 4.318.305.792</v>
      </c>
      <c r="B73" s="90">
        <v>9582</v>
      </c>
      <c r="C73" s="91"/>
      <c r="D73" s="90">
        <f>Saldobalance!C72</f>
        <v>4000</v>
      </c>
      <c r="E73" s="91"/>
      <c r="F73" s="90">
        <f>Saldobalance!D72</f>
        <v>8800.75</v>
      </c>
      <c r="G73" s="91"/>
      <c r="H73" s="11"/>
      <c r="I73" s="4"/>
      <c r="J73" s="90">
        <v>9000</v>
      </c>
      <c r="K73" s="91"/>
      <c r="L73" s="11"/>
    </row>
    <row r="74" spans="1:12" s="3" customFormat="1" ht="12.75">
      <c r="A74" s="10" t="str">
        <f>Saldobalance!B73</f>
        <v>Udv. Vedligehold Gården</v>
      </c>
      <c r="B74" s="90">
        <f>-(52738.25-36825+17925.2+16117.33)</f>
        <v>-49955.78</v>
      </c>
      <c r="C74" s="91"/>
      <c r="D74" s="90">
        <f>Saldobalance!C73</f>
        <v>40000</v>
      </c>
      <c r="E74" s="91"/>
      <c r="F74" s="90">
        <f>Saldobalance!D73</f>
        <v>0</v>
      </c>
      <c r="G74" s="91"/>
      <c r="H74" s="11"/>
      <c r="I74" s="4"/>
      <c r="J74" s="90">
        <v>12000</v>
      </c>
      <c r="K74" s="91"/>
      <c r="L74" s="11"/>
    </row>
    <row r="75" spans="1:12" ht="12.75">
      <c r="A75" s="10" t="str">
        <f>Saldobalance!B74</f>
        <v>Indv. Vedligehold Gården</v>
      </c>
      <c r="B75" s="10">
        <f>-16443.75</f>
        <v>-16443.75</v>
      </c>
      <c r="C75" s="89"/>
      <c r="D75" s="10">
        <f>Saldobalance!C74</f>
        <v>15000</v>
      </c>
      <c r="E75" s="89"/>
      <c r="F75" s="10">
        <f>Saldobalance!D74</f>
        <v>18089.35</v>
      </c>
      <c r="G75" s="89"/>
      <c r="H75" s="89"/>
      <c r="I75" s="4"/>
      <c r="J75" s="10">
        <v>15000</v>
      </c>
      <c r="K75" s="11"/>
      <c r="L75" s="89"/>
    </row>
    <row r="76" spans="1:12" ht="12.75">
      <c r="A76" s="35"/>
      <c r="B76" s="13"/>
      <c r="C76" s="36"/>
      <c r="D76" s="13"/>
      <c r="E76" s="36"/>
      <c r="F76" s="13"/>
      <c r="G76" s="36"/>
      <c r="H76" s="36"/>
      <c r="I76" s="4"/>
      <c r="J76" s="13"/>
      <c r="K76" s="36"/>
      <c r="L76" s="36"/>
    </row>
    <row r="77" spans="1:12" ht="12.75">
      <c r="A77" s="35" t="str">
        <f>Saldobalance!B78</f>
        <v>Diverse variable udgifter</v>
      </c>
      <c r="B77" s="13"/>
      <c r="C77" s="5">
        <v>9919</v>
      </c>
      <c r="D77" s="13"/>
      <c r="E77" s="2">
        <f>Saldobalance!C78</f>
        <v>0</v>
      </c>
      <c r="F77" s="13"/>
      <c r="G77" s="2">
        <f>Saldobalance!D78</f>
        <v>0</v>
      </c>
      <c r="H77" s="9"/>
      <c r="I77" s="4"/>
      <c r="J77" s="13"/>
      <c r="K77" s="2">
        <v>0</v>
      </c>
      <c r="L77" s="9"/>
    </row>
    <row r="78" spans="1:12" ht="12.75">
      <c r="A78" s="35"/>
      <c r="B78" s="13"/>
      <c r="C78" s="2"/>
      <c r="D78" s="13"/>
      <c r="E78" s="2"/>
      <c r="F78" s="13"/>
      <c r="G78" s="2"/>
      <c r="H78" s="2"/>
      <c r="I78" s="4"/>
      <c r="J78" s="13"/>
      <c r="K78" s="2"/>
      <c r="L78" s="2"/>
    </row>
    <row r="79" spans="1:12" ht="13.5" thickBot="1">
      <c r="A79" s="21" t="s">
        <v>198</v>
      </c>
      <c r="B79" s="41"/>
      <c r="C79" s="22">
        <f>SUM(C18:C78)</f>
        <v>204804.16999999998</v>
      </c>
      <c r="D79" s="41"/>
      <c r="E79" s="22">
        <f>Saldobalance!C79</f>
        <v>383771.8</v>
      </c>
      <c r="F79" s="41"/>
      <c r="G79" s="22">
        <f>Saldobalance!D79</f>
        <v>364466.02999999997</v>
      </c>
      <c r="H79" s="88">
        <f>(G79-E79)/E79*100</f>
        <v>-5.030533770329143</v>
      </c>
      <c r="I79" s="4"/>
      <c r="J79" s="41"/>
      <c r="K79" s="22">
        <f>SUM(K18:K56)+K60+K66</f>
        <v>281592.05</v>
      </c>
      <c r="L79" s="88">
        <f>(K79-E79)/E79*100</f>
        <v>-26.625132435473375</v>
      </c>
    </row>
    <row r="80" ht="13.5" thickBot="1">
      <c r="I80" s="4"/>
    </row>
    <row r="81" spans="1:12" ht="12.75">
      <c r="A81" s="23" t="s">
        <v>199</v>
      </c>
      <c r="B81" s="39"/>
      <c r="C81" s="24"/>
      <c r="D81" s="24"/>
      <c r="E81" s="24"/>
      <c r="F81" s="24"/>
      <c r="G81" s="24"/>
      <c r="H81" s="40"/>
      <c r="I81" s="4"/>
      <c r="J81" s="39"/>
      <c r="K81" s="24"/>
      <c r="L81" s="40"/>
    </row>
    <row r="82" spans="1:12" ht="12.75">
      <c r="A82" s="18"/>
      <c r="B82" s="47" t="str">
        <f>$B$5</f>
        <v>Regnskab </v>
      </c>
      <c r="C82" s="46">
        <f>$C$5</f>
        <v>2010</v>
      </c>
      <c r="D82" s="45" t="str">
        <f>$D$5</f>
        <v>Budget </v>
      </c>
      <c r="E82" s="46">
        <f>$E$5</f>
        <v>2011</v>
      </c>
      <c r="F82" s="45" t="str">
        <f>$F$5</f>
        <v>Regnskab </v>
      </c>
      <c r="G82" s="46">
        <f>$G$5</f>
        <v>2011</v>
      </c>
      <c r="H82" s="46" t="str">
        <f>$H$5</f>
        <v>Difference </v>
      </c>
      <c r="I82" s="4"/>
      <c r="J82" s="47" t="str">
        <f>$J$5</f>
        <v>Budget </v>
      </c>
      <c r="K82" s="46">
        <f>$K$5</f>
        <v>2012</v>
      </c>
      <c r="L82" s="46" t="str">
        <f>$L$5</f>
        <v>Stigning</v>
      </c>
    </row>
    <row r="83" spans="1:12" ht="12.75">
      <c r="A83" s="29" t="s">
        <v>3</v>
      </c>
      <c r="B83" s="32"/>
      <c r="C83" s="33"/>
      <c r="D83" s="32"/>
      <c r="E83" s="33"/>
      <c r="F83" s="32"/>
      <c r="G83" s="33"/>
      <c r="H83" s="33" t="s">
        <v>4</v>
      </c>
      <c r="I83" s="4"/>
      <c r="J83" s="32"/>
      <c r="K83" s="33"/>
      <c r="L83" s="33" t="s">
        <v>4</v>
      </c>
    </row>
    <row r="84" spans="2:12" ht="12.75">
      <c r="B84" s="13"/>
      <c r="C84" s="36"/>
      <c r="D84" s="13"/>
      <c r="E84" s="36"/>
      <c r="F84" s="13"/>
      <c r="G84" s="36"/>
      <c r="H84" s="36"/>
      <c r="I84" s="4"/>
      <c r="J84" s="13"/>
      <c r="K84" s="36"/>
      <c r="L84" s="36"/>
    </row>
    <row r="85" spans="1:12" ht="12.75">
      <c r="A85" s="35" t="str">
        <f>Saldobalance!B83</f>
        <v>Ejendomsskat</v>
      </c>
      <c r="B85" s="13"/>
      <c r="C85" s="20">
        <v>67191.83</v>
      </c>
      <c r="D85" s="13"/>
      <c r="E85" s="36">
        <f>Saldobalance!C83</f>
        <v>32792</v>
      </c>
      <c r="F85" s="13"/>
      <c r="G85" s="36">
        <f>Saldobalance!D83</f>
        <v>36830.7</v>
      </c>
      <c r="H85" s="9">
        <f>(G85-E85)/E85*100</f>
        <v>12.316113686264933</v>
      </c>
      <c r="I85" s="4"/>
      <c r="J85" s="13"/>
      <c r="K85" s="36">
        <f>35891.34+2046.24</f>
        <v>37937.579999999994</v>
      </c>
      <c r="L85" s="9">
        <f>(K85-E85)/E85*100</f>
        <v>15.691571114906058</v>
      </c>
    </row>
    <row r="86" spans="1:12" ht="12.75">
      <c r="A86" s="35"/>
      <c r="B86" s="13"/>
      <c r="D86" s="13"/>
      <c r="E86" s="36"/>
      <c r="F86" s="13"/>
      <c r="G86" s="36"/>
      <c r="H86" s="36"/>
      <c r="I86" s="4"/>
      <c r="J86" s="13"/>
      <c r="K86" s="36"/>
      <c r="L86" s="36"/>
    </row>
    <row r="87" spans="1:12" ht="12.75">
      <c r="A87" s="35" t="str">
        <f>Saldobalance!B84</f>
        <v>Forsikringer</v>
      </c>
      <c r="B87" s="13"/>
      <c r="C87" s="20">
        <v>36734.66</v>
      </c>
      <c r="D87" s="13"/>
      <c r="E87" s="36">
        <f>Saldobalance!C84</f>
        <v>33000</v>
      </c>
      <c r="F87" s="13"/>
      <c r="G87" s="36">
        <f>Saldobalance!D84</f>
        <v>33472.47</v>
      </c>
      <c r="H87" s="9">
        <f>(G87-E87)/E87*100</f>
        <v>1.4317272727272763</v>
      </c>
      <c r="I87" s="4"/>
      <c r="J87" s="13"/>
      <c r="K87" s="36">
        <v>37000</v>
      </c>
      <c r="L87" s="9">
        <f>(K87-E87)/E87*100</f>
        <v>12.121212121212121</v>
      </c>
    </row>
    <row r="88" spans="1:12" ht="12.75">
      <c r="A88" s="35"/>
      <c r="B88" s="13"/>
      <c r="C88" s="6"/>
      <c r="D88" s="13"/>
      <c r="E88" s="6"/>
      <c r="F88" s="13"/>
      <c r="G88" s="6"/>
      <c r="H88" s="6"/>
      <c r="I88" s="4"/>
      <c r="J88" s="13"/>
      <c r="K88" s="6"/>
      <c r="L88" s="6"/>
    </row>
    <row r="89" spans="1:12" ht="12.75">
      <c r="A89" s="35" t="str">
        <f>Saldobalance!B86</f>
        <v>Ydelser på lån</v>
      </c>
      <c r="B89" s="13"/>
      <c r="C89" s="2">
        <f>SUM(B90:B94)</f>
        <v>258460.6</v>
      </c>
      <c r="D89" s="13"/>
      <c r="E89" s="2">
        <f>Saldobalance!C92</f>
        <v>265461</v>
      </c>
      <c r="F89" s="13"/>
      <c r="G89" s="2">
        <f>Saldobalance!D92</f>
        <v>263204.24</v>
      </c>
      <c r="H89" s="9">
        <f>(G89-E89)/E89*100</f>
        <v>-0.8501286441322866</v>
      </c>
      <c r="I89" s="4">
        <v>17</v>
      </c>
      <c r="J89" s="13"/>
      <c r="K89" s="2">
        <f>SUM(J90:J94)-'Est. renteudgifter 2012'!B11</f>
        <v>244637.36025</v>
      </c>
      <c r="L89" s="9">
        <f>(K89-E89)/E89*100</f>
        <v>-7.844331088182447</v>
      </c>
    </row>
    <row r="90" spans="1:14" ht="12.75">
      <c r="A90" s="10" t="str">
        <f>Saldobalance!B87</f>
        <v>KD, 7AV - Stuehuset + Østlængen</v>
      </c>
      <c r="B90" s="10">
        <v>38326</v>
      </c>
      <c r="C90" s="89"/>
      <c r="D90" s="10">
        <f>Saldobalance!C87</f>
        <v>38326</v>
      </c>
      <c r="E90" s="89"/>
      <c r="F90" s="10">
        <f>Saldobalance!D87</f>
        <v>38326.64</v>
      </c>
      <c r="G90" s="89"/>
      <c r="H90" s="89"/>
      <c r="I90" s="4"/>
      <c r="J90" s="10">
        <v>38326</v>
      </c>
      <c r="K90" s="11"/>
      <c r="L90" s="89"/>
      <c r="N90" s="20" t="s">
        <v>277</v>
      </c>
    </row>
    <row r="91" spans="1:14" ht="12.75">
      <c r="A91" s="10" t="str">
        <f>Saldobalance!B88</f>
        <v>Finansbanken, Komfur &amp; Ovn - 1234291</v>
      </c>
      <c r="B91" s="10">
        <v>22000</v>
      </c>
      <c r="C91" s="89"/>
      <c r="D91" s="10">
        <f>Saldobalance!C88</f>
        <v>22000</v>
      </c>
      <c r="E91" s="89"/>
      <c r="F91" s="10">
        <f>Saldobalance!D88</f>
        <v>22000</v>
      </c>
      <c r="G91" s="89"/>
      <c r="H91" s="89"/>
      <c r="I91" s="4"/>
      <c r="J91" s="10">
        <v>22000</v>
      </c>
      <c r="K91" s="11"/>
      <c r="L91" s="89"/>
      <c r="N91" s="94">
        <v>2016</v>
      </c>
    </row>
    <row r="92" spans="1:14" ht="12.75">
      <c r="A92" s="10" t="str">
        <f>Saldobalance!B89</f>
        <v>Finansbanken, Fyrudskiftning - 1234045</v>
      </c>
      <c r="B92" s="10">
        <v>181634.6</v>
      </c>
      <c r="C92" s="89"/>
      <c r="D92" s="10">
        <f>Saldobalance!C89</f>
        <v>181635</v>
      </c>
      <c r="E92" s="89"/>
      <c r="F92" s="10">
        <f>Saldobalance!D89</f>
        <v>181634.6</v>
      </c>
      <c r="G92" s="89"/>
      <c r="H92" s="89"/>
      <c r="I92" s="4"/>
      <c r="J92" s="10">
        <v>181635</v>
      </c>
      <c r="K92" s="11"/>
      <c r="L92" s="89"/>
      <c r="N92" s="94">
        <v>2013</v>
      </c>
    </row>
    <row r="93" spans="1:14" ht="12.75">
      <c r="A93" s="10" t="str">
        <f>Saldobalance!B90</f>
        <v>Finansbanken, Tørretumbler - 1328083</v>
      </c>
      <c r="B93" s="10">
        <v>16500</v>
      </c>
      <c r="C93" s="89"/>
      <c r="D93" s="10">
        <f>Saldobalance!C90</f>
        <v>16500</v>
      </c>
      <c r="E93" s="89"/>
      <c r="F93" s="10">
        <f>Saldobalance!D90</f>
        <v>16575</v>
      </c>
      <c r="G93" s="89"/>
      <c r="H93" s="89"/>
      <c r="I93" s="4"/>
      <c r="J93" s="10">
        <v>16500</v>
      </c>
      <c r="K93" s="11"/>
      <c r="L93" s="89"/>
      <c r="N93" s="94">
        <v>2013</v>
      </c>
    </row>
    <row r="94" spans="1:14" ht="12.75">
      <c r="A94" s="10" t="str">
        <f>Saldobalance!B91</f>
        <v>Vaskemaskiner, 2011</v>
      </c>
      <c r="B94" s="10">
        <v>0</v>
      </c>
      <c r="C94" s="89"/>
      <c r="D94" s="10">
        <f>Saldobalance!C91</f>
        <v>7000</v>
      </c>
      <c r="E94" s="89"/>
      <c r="F94" s="10">
        <f>Saldobalance!D91</f>
        <v>4668</v>
      </c>
      <c r="G94" s="89"/>
      <c r="H94" s="89"/>
      <c r="I94" s="4"/>
      <c r="J94" s="10">
        <v>7000</v>
      </c>
      <c r="K94" s="11"/>
      <c r="L94" s="89"/>
      <c r="N94" s="94">
        <v>2015</v>
      </c>
    </row>
    <row r="95" spans="1:14" ht="12.75">
      <c r="A95" s="35"/>
      <c r="B95" s="92"/>
      <c r="C95" s="93"/>
      <c r="D95" s="92"/>
      <c r="E95" s="93"/>
      <c r="F95" s="92"/>
      <c r="G95" s="93"/>
      <c r="H95" s="93"/>
      <c r="I95" s="4"/>
      <c r="J95" s="92"/>
      <c r="K95" s="36"/>
      <c r="L95" s="93"/>
      <c r="N95" s="94">
        <v>2023</v>
      </c>
    </row>
    <row r="96" spans="1:12" ht="12.75">
      <c r="A96" s="35" t="str">
        <f>Saldobalance!B94</f>
        <v>Renter og gebyrer</v>
      </c>
      <c r="B96" s="13"/>
      <c r="C96" s="6">
        <f>SUM(B97:B100)</f>
        <v>1513</v>
      </c>
      <c r="D96" s="13"/>
      <c r="E96" s="6">
        <f>Saldobalance!C99</f>
        <v>0</v>
      </c>
      <c r="F96" s="13"/>
      <c r="G96" s="6">
        <f>Saldobalance!D99</f>
        <v>117.9</v>
      </c>
      <c r="H96" s="9"/>
      <c r="I96" s="4"/>
      <c r="J96" s="13"/>
      <c r="K96" s="6">
        <f>SUM(J97:J100)</f>
        <v>0</v>
      </c>
      <c r="L96" s="9"/>
    </row>
    <row r="97" spans="1:12" ht="12.75">
      <c r="A97" s="10" t="str">
        <f>Saldobalance!B95</f>
        <v>Finansbanken</v>
      </c>
      <c r="B97" s="10">
        <v>1513</v>
      </c>
      <c r="C97" s="11"/>
      <c r="D97" s="10">
        <f>Saldobalance!C95</f>
        <v>0</v>
      </c>
      <c r="E97" s="11"/>
      <c r="F97" s="10">
        <f>Saldobalance!D95</f>
        <v>0</v>
      </c>
      <c r="G97" s="11"/>
      <c r="H97" s="11"/>
      <c r="I97" s="4"/>
      <c r="J97" s="10">
        <v>0</v>
      </c>
      <c r="K97" s="11"/>
      <c r="L97" s="11"/>
    </row>
    <row r="98" spans="1:12" ht="12.75">
      <c r="A98" s="10" t="str">
        <f>Saldobalance!B96</f>
        <v>Gevinst på valutakursdiff, debitorer</v>
      </c>
      <c r="B98" s="10">
        <v>0</v>
      </c>
      <c r="C98" s="11"/>
      <c r="D98" s="10">
        <f>Saldobalance!C96</f>
        <v>0</v>
      </c>
      <c r="E98" s="11"/>
      <c r="F98" s="10">
        <f>Saldobalance!D96</f>
        <v>0</v>
      </c>
      <c r="G98" s="11"/>
      <c r="H98" s="11"/>
      <c r="I98" s="4"/>
      <c r="J98" s="10">
        <v>0</v>
      </c>
      <c r="K98" s="11"/>
      <c r="L98" s="11"/>
    </row>
    <row r="99" spans="1:12" ht="12.75">
      <c r="A99" s="10" t="str">
        <f>Saldobalance!B97</f>
        <v>Gevinst på valutakursdiff, kreditorer</v>
      </c>
      <c r="B99" s="10">
        <v>0</v>
      </c>
      <c r="C99" s="11"/>
      <c r="D99" s="10">
        <f>Saldobalance!C97</f>
        <v>0</v>
      </c>
      <c r="E99" s="11"/>
      <c r="F99" s="10">
        <f>Saldobalance!D97</f>
        <v>0</v>
      </c>
      <c r="G99" s="11"/>
      <c r="H99" s="11"/>
      <c r="I99" s="4"/>
      <c r="J99" s="10">
        <v>0</v>
      </c>
      <c r="K99" s="11"/>
      <c r="L99" s="11"/>
    </row>
    <row r="100" spans="1:12" ht="12.75">
      <c r="A100" s="10" t="str">
        <f>Saldobalance!B98</f>
        <v>Andre renter og gebyrer</v>
      </c>
      <c r="B100" s="10">
        <v>0</v>
      </c>
      <c r="C100" s="11"/>
      <c r="D100" s="10">
        <f>Saldobalance!C98</f>
        <v>0</v>
      </c>
      <c r="E100" s="11"/>
      <c r="F100" s="10">
        <f>Saldobalance!D98</f>
        <v>117.9</v>
      </c>
      <c r="G100" s="11"/>
      <c r="H100" s="11"/>
      <c r="I100" s="116"/>
      <c r="J100" s="10">
        <v>0</v>
      </c>
      <c r="K100" s="11"/>
      <c r="L100" s="11"/>
    </row>
    <row r="101" spans="1:12" ht="12.75">
      <c r="A101" s="35"/>
      <c r="B101" s="13"/>
      <c r="C101" s="36"/>
      <c r="D101" s="13"/>
      <c r="E101" s="36"/>
      <c r="F101" s="13"/>
      <c r="G101" s="36"/>
      <c r="H101" s="36"/>
      <c r="I101" s="4"/>
      <c r="J101" s="13"/>
      <c r="K101" s="36"/>
      <c r="L101" s="36"/>
    </row>
    <row r="102" spans="1:12" ht="12.75">
      <c r="A102" s="35" t="str">
        <f>Saldobalance!B101</f>
        <v>Ressourceforbrug i Fælleshuset</v>
      </c>
      <c r="B102" s="13"/>
      <c r="C102" s="2">
        <f>SUM(B103:B107)</f>
        <v>182269.04</v>
      </c>
      <c r="D102" s="13"/>
      <c r="E102" s="2">
        <f>Saldobalance!C107</f>
        <v>158354</v>
      </c>
      <c r="F102" s="13"/>
      <c r="G102" s="2">
        <f>Saldobalance!D107</f>
        <v>200067.9</v>
      </c>
      <c r="H102" s="9">
        <f>(G102-E102)/E102*100</f>
        <v>26.34218270457329</v>
      </c>
      <c r="I102" s="4"/>
      <c r="J102" s="13"/>
      <c r="K102" s="2">
        <f>SUM(J103:J107)</f>
        <v>160100</v>
      </c>
      <c r="L102" s="9">
        <f>(K102-E102)/E102*100</f>
        <v>1.1025929247129849</v>
      </c>
    </row>
    <row r="103" spans="1:12" ht="12.75">
      <c r="A103" s="10" t="str">
        <f>Saldobalance!B102</f>
        <v>Renovation</v>
      </c>
      <c r="B103" s="10">
        <f>64209.04-3275</f>
        <v>60934.04</v>
      </c>
      <c r="C103" s="89"/>
      <c r="D103" s="10">
        <f>Saldobalance!C102</f>
        <v>53200</v>
      </c>
      <c r="E103" s="89"/>
      <c r="F103" s="10">
        <f>Saldobalance!D102</f>
        <v>56185.03</v>
      </c>
      <c r="G103" s="89"/>
      <c r="H103" s="89"/>
      <c r="I103" s="4">
        <v>18</v>
      </c>
      <c r="J103" s="10">
        <f>9900+3000</f>
        <v>12900</v>
      </c>
      <c r="K103" s="11"/>
      <c r="L103" s="89"/>
    </row>
    <row r="104" spans="1:12" ht="12.75">
      <c r="A104" s="10" t="str">
        <f>Saldobalance!B103</f>
        <v>EL</v>
      </c>
      <c r="B104" s="10">
        <v>56486</v>
      </c>
      <c r="C104" s="89"/>
      <c r="D104" s="10">
        <f>Saldobalance!C103</f>
        <v>54000</v>
      </c>
      <c r="E104" s="89"/>
      <c r="F104" s="10">
        <f>Saldobalance!D103</f>
        <v>74946.87</v>
      </c>
      <c r="G104" s="89"/>
      <c r="H104" s="89"/>
      <c r="I104" s="4">
        <v>19</v>
      </c>
      <c r="J104" s="10">
        <v>63200</v>
      </c>
      <c r="K104" s="11"/>
      <c r="L104" s="89"/>
    </row>
    <row r="105" spans="1:12" ht="12.75">
      <c r="A105" s="10" t="str">
        <f>Saldobalance!B104</f>
        <v>Varme / gas</v>
      </c>
      <c r="B105" s="10">
        <v>40085</v>
      </c>
      <c r="C105" s="89"/>
      <c r="D105" s="10">
        <f>Saldobalance!C104</f>
        <v>37500</v>
      </c>
      <c r="E105" s="89"/>
      <c r="F105" s="10">
        <f>Saldobalance!D104</f>
        <v>54906</v>
      </c>
      <c r="G105" s="89"/>
      <c r="H105" s="89"/>
      <c r="I105" s="4">
        <v>20</v>
      </c>
      <c r="J105" s="10">
        <v>48000</v>
      </c>
      <c r="K105" s="11"/>
      <c r="L105" s="89"/>
    </row>
    <row r="106" spans="1:12" ht="12.75">
      <c r="A106" s="10" t="str">
        <f>Saldobalance!B105</f>
        <v>Vand</v>
      </c>
      <c r="B106" s="10">
        <v>24764</v>
      </c>
      <c r="C106" s="89"/>
      <c r="D106" s="10">
        <f>Saldobalance!C105</f>
        <v>10154</v>
      </c>
      <c r="E106" s="89"/>
      <c r="F106" s="10">
        <f>Saldobalance!D105</f>
        <v>9380</v>
      </c>
      <c r="G106" s="89"/>
      <c r="H106" s="89"/>
      <c r="I106" s="4">
        <v>21</v>
      </c>
      <c r="J106" s="10">
        <v>33000</v>
      </c>
      <c r="K106" s="11"/>
      <c r="L106" s="89"/>
    </row>
    <row r="107" spans="1:12" ht="12.75">
      <c r="A107" s="10" t="str">
        <f>Saldobalance!B106</f>
        <v>Vask</v>
      </c>
      <c r="B107" s="10">
        <v>0</v>
      </c>
      <c r="C107" s="89"/>
      <c r="D107" s="10">
        <f>Saldobalance!C106</f>
        <v>3500</v>
      </c>
      <c r="E107" s="89"/>
      <c r="F107" s="10">
        <f>Saldobalance!D106</f>
        <v>4650</v>
      </c>
      <c r="G107" s="89"/>
      <c r="H107" s="89"/>
      <c r="I107" s="4"/>
      <c r="J107" s="10">
        <v>3000</v>
      </c>
      <c r="K107" s="11"/>
      <c r="L107" s="89"/>
    </row>
    <row r="108" spans="1:12" ht="12.75">
      <c r="A108" s="34"/>
      <c r="B108" s="34"/>
      <c r="C108" s="36"/>
      <c r="D108" s="34"/>
      <c r="E108" s="36"/>
      <c r="F108" s="34"/>
      <c r="G108" s="36"/>
      <c r="H108" s="36"/>
      <c r="I108" s="4"/>
      <c r="J108" s="34"/>
      <c r="K108" s="36"/>
      <c r="L108" s="36"/>
    </row>
    <row r="109" spans="1:12" ht="12.75">
      <c r="A109" s="35" t="str">
        <f>Saldobalance!B109</f>
        <v>Bestyrelsen</v>
      </c>
      <c r="B109" s="13"/>
      <c r="C109" s="36">
        <f>SUM(B110:B112)</f>
        <v>3434.75</v>
      </c>
      <c r="D109" s="13"/>
      <c r="E109" s="36">
        <f>Saldobalance!C113</f>
        <v>7000</v>
      </c>
      <c r="F109" s="13"/>
      <c r="G109" s="36">
        <f>Saldobalance!D113</f>
        <v>6532.509999999999</v>
      </c>
      <c r="H109" s="9">
        <f>(G109-E109)/E109*100</f>
        <v>-6.678428571428581</v>
      </c>
      <c r="I109" s="4"/>
      <c r="J109" s="13"/>
      <c r="K109" s="36">
        <f>SUM(J110:J112)</f>
        <v>9000</v>
      </c>
      <c r="L109" s="9">
        <f>(K109-E109)/E109*100</f>
        <v>28.57142857142857</v>
      </c>
    </row>
    <row r="110" spans="1:12" ht="12.75">
      <c r="A110" s="10" t="str">
        <f>Saldobalance!B110</f>
        <v>Drift af bestyrelsen</v>
      </c>
      <c r="B110" s="10">
        <f>2636.75-679</f>
        <v>1957.75</v>
      </c>
      <c r="C110" s="11"/>
      <c r="D110" s="10">
        <f>Saldobalance!C110</f>
        <v>2500</v>
      </c>
      <c r="E110" s="11"/>
      <c r="F110" s="10">
        <f>Saldobalance!D110</f>
        <v>4545.4</v>
      </c>
      <c r="G110" s="11"/>
      <c r="H110" s="11"/>
      <c r="I110" s="4">
        <v>22</v>
      </c>
      <c r="J110" s="10">
        <v>3500</v>
      </c>
      <c r="K110" s="11"/>
      <c r="L110" s="11"/>
    </row>
    <row r="111" spans="1:12" ht="12.75">
      <c r="A111" s="10" t="str">
        <f>Saldobalance!B111</f>
        <v>Kontorartikler og Porto</v>
      </c>
      <c r="B111" s="10">
        <v>1477</v>
      </c>
      <c r="C111" s="11"/>
      <c r="D111" s="10">
        <f>Saldobalance!C111</f>
        <v>1500</v>
      </c>
      <c r="E111" s="11"/>
      <c r="F111" s="10">
        <f>Saldobalance!D111</f>
        <v>446.95</v>
      </c>
      <c r="G111" s="11"/>
      <c r="H111" s="11"/>
      <c r="I111" s="4"/>
      <c r="J111" s="10">
        <v>1000</v>
      </c>
      <c r="K111" s="11"/>
      <c r="L111" s="11"/>
    </row>
    <row r="112" spans="1:12" ht="12.75">
      <c r="A112" s="10" t="str">
        <f>Saldobalance!B112</f>
        <v>Økonomisystem</v>
      </c>
      <c r="B112" s="10">
        <v>0</v>
      </c>
      <c r="C112" s="11"/>
      <c r="D112" s="10">
        <f>Saldobalance!C112</f>
        <v>3000</v>
      </c>
      <c r="E112" s="11"/>
      <c r="F112" s="10">
        <f>Saldobalance!D112</f>
        <v>1540.16</v>
      </c>
      <c r="G112" s="11"/>
      <c r="H112" s="11"/>
      <c r="I112" s="4">
        <v>23</v>
      </c>
      <c r="J112" s="10">
        <v>4500</v>
      </c>
      <c r="K112" s="11"/>
      <c r="L112" s="11"/>
    </row>
    <row r="113" spans="1:12" ht="12.75">
      <c r="A113" s="35"/>
      <c r="B113" s="13"/>
      <c r="C113" s="6"/>
      <c r="D113" s="13"/>
      <c r="E113" s="6"/>
      <c r="F113" s="13"/>
      <c r="G113" s="6"/>
      <c r="H113" s="6"/>
      <c r="I113" s="4"/>
      <c r="J113" s="13"/>
      <c r="K113" s="6"/>
      <c r="L113" s="6"/>
    </row>
    <row r="114" spans="1:12" ht="12.75">
      <c r="A114" s="35" t="str">
        <f>Saldobalance!B115</f>
        <v>Revision</v>
      </c>
      <c r="B114" s="13"/>
      <c r="C114" s="2">
        <f>SUM(B115:B116)</f>
        <v>38370</v>
      </c>
      <c r="D114" s="13"/>
      <c r="E114" s="2">
        <f>Saldobalance!C118</f>
        <v>31000</v>
      </c>
      <c r="F114" s="13"/>
      <c r="G114" s="2">
        <f>Saldobalance!D118</f>
        <v>46051.25</v>
      </c>
      <c r="H114" s="9">
        <f>(G114-E114)/E114*100</f>
        <v>48.55241935483871</v>
      </c>
      <c r="I114" s="4"/>
      <c r="J114" s="13"/>
      <c r="K114" s="2">
        <f>SUM(J115:J116)</f>
        <v>38000</v>
      </c>
      <c r="L114" s="9">
        <f>(K114-E114)/E114*100</f>
        <v>22.58064516129032</v>
      </c>
    </row>
    <row r="115" spans="1:12" ht="12.75">
      <c r="A115" s="10" t="str">
        <f>Saldobalance!B116</f>
        <v>GEF-regnskab</v>
      </c>
      <c r="B115" s="10">
        <f>22745+8125</f>
        <v>30870</v>
      </c>
      <c r="C115" s="89"/>
      <c r="D115" s="10">
        <f>Saldobalance!C116</f>
        <v>23000</v>
      </c>
      <c r="E115" s="89"/>
      <c r="F115" s="10">
        <f>Saldobalance!D116</f>
        <v>37926.25</v>
      </c>
      <c r="G115" s="89"/>
      <c r="H115" s="89"/>
      <c r="I115" s="4">
        <v>24</v>
      </c>
      <c r="J115" s="10">
        <v>30000</v>
      </c>
      <c r="K115" s="11"/>
      <c r="L115" s="89"/>
    </row>
    <row r="116" spans="1:12" ht="12.75">
      <c r="A116" s="10" t="str">
        <f>Saldobalance!B117</f>
        <v>IS-regnskab</v>
      </c>
      <c r="B116" s="10">
        <v>7500</v>
      </c>
      <c r="C116" s="89"/>
      <c r="D116" s="10">
        <f>Saldobalance!C117</f>
        <v>8000</v>
      </c>
      <c r="E116" s="89"/>
      <c r="F116" s="10">
        <f>Saldobalance!D117</f>
        <v>8125</v>
      </c>
      <c r="G116" s="89"/>
      <c r="H116" s="89"/>
      <c r="I116" s="4"/>
      <c r="J116" s="10">
        <v>8000</v>
      </c>
      <c r="K116" s="11"/>
      <c r="L116" s="89"/>
    </row>
    <row r="117" spans="1:12" ht="12.75">
      <c r="A117" s="35"/>
      <c r="B117" s="13"/>
      <c r="C117" s="6"/>
      <c r="D117" s="13"/>
      <c r="E117" s="6"/>
      <c r="F117" s="13"/>
      <c r="G117" s="6"/>
      <c r="H117" s="6"/>
      <c r="I117" s="4"/>
      <c r="J117" s="13"/>
      <c r="K117" s="6"/>
      <c r="L117" s="6"/>
    </row>
    <row r="118" spans="1:12" ht="12.75">
      <c r="A118" s="35" t="str">
        <f>Saldobalance!B120</f>
        <v>Diverse</v>
      </c>
      <c r="B118" s="13"/>
      <c r="C118" s="2">
        <f>SUM(B119:B122)</f>
        <v>122</v>
      </c>
      <c r="D118" s="13"/>
      <c r="E118" s="2">
        <f>Saldobalance!C125</f>
        <v>4122</v>
      </c>
      <c r="F118" s="13"/>
      <c r="G118" s="2">
        <f>Saldobalance!D125</f>
        <v>-305.01</v>
      </c>
      <c r="H118" s="9">
        <f>(G118-E118)/E118*100</f>
        <v>-107.3995633187773</v>
      </c>
      <c r="I118" s="4"/>
      <c r="J118" s="13"/>
      <c r="K118" s="2">
        <f>SUM(J119:J122)</f>
        <v>4122</v>
      </c>
      <c r="L118" s="9">
        <f>(K118-E118)/E118*100</f>
        <v>0</v>
      </c>
    </row>
    <row r="119" spans="1:12" ht="12.75">
      <c r="A119" s="10" t="str">
        <f>Saldobalance!B121</f>
        <v>Tab på Bofæller</v>
      </c>
      <c r="B119" s="10">
        <v>0</v>
      </c>
      <c r="C119" s="89"/>
      <c r="D119" s="10">
        <f>Saldobalance!C121</f>
        <v>0</v>
      </c>
      <c r="E119" s="89"/>
      <c r="F119" s="10">
        <f>Saldobalance!D121</f>
        <v>0</v>
      </c>
      <c r="G119" s="89"/>
      <c r="H119" s="89"/>
      <c r="I119" s="4"/>
      <c r="J119" s="10">
        <v>0</v>
      </c>
      <c r="K119" s="11"/>
      <c r="L119" s="89"/>
    </row>
    <row r="120" spans="1:12" ht="12.75">
      <c r="A120" s="10" t="str">
        <f>Saldobalance!B122</f>
        <v>Øredifferencer</v>
      </c>
      <c r="B120" s="10">
        <v>122</v>
      </c>
      <c r="C120" s="89"/>
      <c r="D120" s="10">
        <f>Saldobalance!C122</f>
        <v>0</v>
      </c>
      <c r="E120" s="89"/>
      <c r="F120" s="10">
        <f>Saldobalance!D122</f>
        <v>-0.01</v>
      </c>
      <c r="G120" s="89"/>
      <c r="H120" s="89"/>
      <c r="I120" s="4"/>
      <c r="J120" s="10">
        <v>0</v>
      </c>
      <c r="K120" s="11"/>
      <c r="L120" s="89"/>
    </row>
    <row r="121" spans="1:12" ht="12.75">
      <c r="A121" s="10" t="str">
        <f>Saldobalance!B123</f>
        <v>Afrundingsfejl på Sol-projekt</v>
      </c>
      <c r="B121" s="10">
        <v>0</v>
      </c>
      <c r="C121" s="89"/>
      <c r="D121" s="10">
        <f>Saldobalance!C123</f>
        <v>122</v>
      </c>
      <c r="E121" s="89"/>
      <c r="F121" s="10">
        <f>Saldobalance!D123</f>
        <v>84</v>
      </c>
      <c r="G121" s="89"/>
      <c r="H121" s="89"/>
      <c r="I121" s="4"/>
      <c r="J121" s="10">
        <v>122</v>
      </c>
      <c r="K121" s="11"/>
      <c r="L121" s="89"/>
    </row>
    <row r="122" spans="1:12" ht="12.75">
      <c r="A122" s="10" t="str">
        <f>Saldobalance!B124</f>
        <v>Diverse omkostninger</v>
      </c>
      <c r="B122" s="10">
        <v>0</v>
      </c>
      <c r="C122" s="89"/>
      <c r="D122" s="10">
        <f>Saldobalance!C124</f>
        <v>4000</v>
      </c>
      <c r="E122" s="89"/>
      <c r="F122" s="10">
        <f>Saldobalance!D124</f>
        <v>-389</v>
      </c>
      <c r="G122" s="89"/>
      <c r="H122" s="89"/>
      <c r="I122" s="4"/>
      <c r="J122" s="10">
        <v>4000</v>
      </c>
      <c r="K122" s="11"/>
      <c r="L122" s="89"/>
    </row>
    <row r="123" spans="1:12" ht="12.75">
      <c r="A123" s="14"/>
      <c r="B123" s="14"/>
      <c r="C123" s="50"/>
      <c r="D123" s="14"/>
      <c r="E123" s="50"/>
      <c r="F123" s="14"/>
      <c r="G123" s="50"/>
      <c r="H123" s="50"/>
      <c r="I123" s="4"/>
      <c r="J123" s="14"/>
      <c r="K123" s="50"/>
      <c r="L123" s="50"/>
    </row>
    <row r="124" spans="1:12" ht="13.5" thickBot="1">
      <c r="A124" s="21" t="str">
        <f>Saldobalance!B126</f>
        <v>Faste udgifter i alt</v>
      </c>
      <c r="B124" s="37"/>
      <c r="C124" s="7">
        <f>SUM(C84:C118)</f>
        <v>588095.88</v>
      </c>
      <c r="D124" s="37"/>
      <c r="E124" s="7">
        <f>Saldobalance!C126</f>
        <v>531729</v>
      </c>
      <c r="F124" s="37"/>
      <c r="G124" s="7">
        <f>Saldobalance!D126</f>
        <v>585971.96</v>
      </c>
      <c r="H124" s="72">
        <f>(G124-E124)/E124*100</f>
        <v>10.201241609917828</v>
      </c>
      <c r="I124" s="4"/>
      <c r="J124" s="37"/>
      <c r="K124" s="7">
        <f>SUM(K84:K122)</f>
        <v>530796.94025</v>
      </c>
      <c r="L124" s="72">
        <f>(K124-E124)/E124*100</f>
        <v>-0.17528849282247438</v>
      </c>
    </row>
    <row r="125" spans="1:14" ht="12.75">
      <c r="A125" s="12"/>
      <c r="B125" s="1"/>
      <c r="C125" s="16"/>
      <c r="D125" s="1"/>
      <c r="E125" s="16"/>
      <c r="F125" s="1"/>
      <c r="G125" s="16"/>
      <c r="H125" s="16"/>
      <c r="I125" s="4"/>
      <c r="J125" s="1"/>
      <c r="K125" s="16"/>
      <c r="L125" s="16"/>
      <c r="N125" s="104"/>
    </row>
    <row r="126" spans="1:12" ht="13.5" thickBot="1">
      <c r="A126" s="21" t="str">
        <f>Saldobalance!B127</f>
        <v>Fælles udgifter i alt</v>
      </c>
      <c r="B126" s="41"/>
      <c r="C126" s="22">
        <f>SUM(C79+C124)</f>
        <v>792900.05</v>
      </c>
      <c r="D126" s="41"/>
      <c r="E126" s="22">
        <f>Saldobalance!C127</f>
        <v>915500.8</v>
      </c>
      <c r="F126" s="41"/>
      <c r="G126" s="22">
        <f>Saldobalance!D127</f>
        <v>950437.99</v>
      </c>
      <c r="H126" s="72">
        <f>(G126-E126)/E126*100</f>
        <v>3.816183448447007</v>
      </c>
      <c r="I126" s="4"/>
      <c r="J126" s="41"/>
      <c r="K126" s="22">
        <f>SUM(K79+K124)</f>
        <v>812388.99025</v>
      </c>
      <c r="L126" s="72">
        <f>(K126-E126)/E126*100</f>
        <v>-11.26288581615658</v>
      </c>
    </row>
    <row r="127" spans="9:14" ht="12.75">
      <c r="I127" s="4"/>
      <c r="N127" s="117"/>
    </row>
    <row r="128" spans="1:12" ht="13.5" thickBot="1">
      <c r="A128" s="21" t="str">
        <f>Saldobalance!B128</f>
        <v>Årets resultat for Bakken</v>
      </c>
      <c r="B128" s="41"/>
      <c r="C128" s="107">
        <f>-(C11+C126)</f>
        <v>-55152.67000000004</v>
      </c>
      <c r="D128" s="41"/>
      <c r="E128" s="107">
        <f>-Saldobalance!C128</f>
        <v>-114227.10000000003</v>
      </c>
      <c r="F128" s="41"/>
      <c r="G128" s="107">
        <f>-Saldobalance!D128</f>
        <v>-152470.59999999998</v>
      </c>
      <c r="H128" s="72">
        <f>(G128-E128)/E128*100</f>
        <v>33.48023367484593</v>
      </c>
      <c r="I128" s="4">
        <v>25</v>
      </c>
      <c r="J128" s="41"/>
      <c r="K128" s="107">
        <f>-(K11+K126)</f>
        <v>-32.990250000031665</v>
      </c>
      <c r="L128" s="72">
        <f>(K128-E128)/E128*100</f>
        <v>-99.97111871876285</v>
      </c>
    </row>
    <row r="129" ht="12.75">
      <c r="I129" s="4"/>
    </row>
    <row r="130" ht="12.75">
      <c r="I130" s="4"/>
    </row>
    <row r="131" spans="1:12" ht="13.5" thickBot="1">
      <c r="A131" s="21" t="str">
        <f>Saldobalance!B235</f>
        <v>EGENKAPITAL</v>
      </c>
      <c r="B131" s="41"/>
      <c r="C131" s="22">
        <v>6049421.37</v>
      </c>
      <c r="D131" s="41"/>
      <c r="E131" s="22"/>
      <c r="F131" s="41"/>
      <c r="G131" s="22">
        <f>-Saldobalance!D239</f>
        <v>5842323.31</v>
      </c>
      <c r="H131" s="72"/>
      <c r="I131" s="4">
        <v>26</v>
      </c>
      <c r="J131" s="41"/>
      <c r="K131" s="22">
        <f>G131+K128</f>
        <v>5842290.31975</v>
      </c>
      <c r="L131" s="72"/>
    </row>
    <row r="132" spans="1:12" ht="12.75">
      <c r="A132" s="12"/>
      <c r="B132" s="42"/>
      <c r="C132" s="42"/>
      <c r="D132" s="42"/>
      <c r="E132" s="42"/>
      <c r="F132" s="42"/>
      <c r="G132" s="42"/>
      <c r="H132" s="42"/>
      <c r="I132" s="4"/>
      <c r="J132" s="42"/>
      <c r="K132" s="42"/>
      <c r="L132" s="42"/>
    </row>
    <row r="133" spans="9:14" ht="17.25">
      <c r="I133" s="4"/>
      <c r="N133" s="68"/>
    </row>
    <row r="134" spans="1:12" s="68" customFormat="1" ht="17.25">
      <c r="A134" s="66" t="s">
        <v>133</v>
      </c>
      <c r="B134" s="67"/>
      <c r="C134" s="67"/>
      <c r="D134" s="67"/>
      <c r="E134" s="67"/>
      <c r="F134" s="67"/>
      <c r="G134" s="67"/>
      <c r="H134" s="67"/>
      <c r="I134" s="4"/>
      <c r="J134" s="20"/>
      <c r="K134" s="20"/>
      <c r="L134" s="67"/>
    </row>
    <row r="135" spans="9:15" ht="18" thickBot="1">
      <c r="I135" s="4"/>
      <c r="O135" s="68"/>
    </row>
    <row r="136" spans="1:12" ht="13.5" thickBot="1">
      <c r="A136" s="23" t="str">
        <f>Saldobalance!B132</f>
        <v>Vaskeriet</v>
      </c>
      <c r="B136" s="27" t="str">
        <f>$B$5</f>
        <v>Regnskab </v>
      </c>
      <c r="C136" s="28">
        <f>$C$5</f>
        <v>2010</v>
      </c>
      <c r="D136" s="27"/>
      <c r="E136" s="28"/>
      <c r="F136" s="27" t="str">
        <f>$F$5</f>
        <v>Regnskab </v>
      </c>
      <c r="G136" s="28">
        <f>$G$5</f>
        <v>2011</v>
      </c>
      <c r="H136" s="4"/>
      <c r="L136" s="4"/>
    </row>
    <row r="137" spans="1:12" ht="12.75">
      <c r="A137" s="18"/>
      <c r="B137" s="47" t="s">
        <v>200</v>
      </c>
      <c r="C137" s="48" t="s">
        <v>30</v>
      </c>
      <c r="D137" s="47"/>
      <c r="E137" s="48"/>
      <c r="F137" s="47" t="s">
        <v>200</v>
      </c>
      <c r="G137" s="48" t="s">
        <v>30</v>
      </c>
      <c r="H137" s="4"/>
      <c r="L137" s="4"/>
    </row>
    <row r="138" spans="1:12" ht="12.75">
      <c r="A138" s="29" t="s">
        <v>3</v>
      </c>
      <c r="B138" s="32"/>
      <c r="C138" s="33"/>
      <c r="D138" s="32"/>
      <c r="E138" s="33"/>
      <c r="F138" s="32"/>
      <c r="G138" s="33"/>
      <c r="H138" s="4"/>
      <c r="L138" s="4"/>
    </row>
    <row r="139" spans="1:12" ht="12.75">
      <c r="A139" s="10" t="str">
        <f>Saldobalance!B133</f>
        <v>Vask opkrævet</v>
      </c>
      <c r="B139" s="55"/>
      <c r="C139" s="11">
        <v>49480</v>
      </c>
      <c r="D139" s="55"/>
      <c r="E139" s="11"/>
      <c r="F139" s="55"/>
      <c r="G139" s="11">
        <f>Saldobalance!D133</f>
        <v>-42015</v>
      </c>
      <c r="H139" s="4"/>
      <c r="L139" s="4"/>
    </row>
    <row r="140" spans="1:12" ht="12.75">
      <c r="A140" s="10" t="str">
        <f>Saldobalance!B134</f>
        <v>Vask Fælleshuset</v>
      </c>
      <c r="B140" s="55"/>
      <c r="C140" s="11">
        <v>0</v>
      </c>
      <c r="D140" s="55"/>
      <c r="E140" s="11"/>
      <c r="F140" s="55"/>
      <c r="G140" s="11">
        <f>Saldobalance!D134</f>
        <v>-4650</v>
      </c>
      <c r="H140" s="4"/>
      <c r="L140" s="4"/>
    </row>
    <row r="141" spans="1:12" ht="12.75">
      <c r="A141" s="10" t="str">
        <f>Saldobalance!B135</f>
        <v>Vaskemidler</v>
      </c>
      <c r="B141" s="55">
        <v>11252.24</v>
      </c>
      <c r="C141" s="11"/>
      <c r="D141" s="55"/>
      <c r="E141" s="11"/>
      <c r="F141" s="55">
        <f>Saldobalance!D135</f>
        <v>20591.68</v>
      </c>
      <c r="G141" s="11"/>
      <c r="H141" s="4"/>
      <c r="L141" s="4"/>
    </row>
    <row r="142" spans="1:12" ht="12.75">
      <c r="A142" s="10" t="str">
        <f>Saldobalance!B136</f>
        <v>EL</v>
      </c>
      <c r="B142" s="55" t="s">
        <v>216</v>
      </c>
      <c r="C142" s="11"/>
      <c r="D142" s="55"/>
      <c r="E142" s="11"/>
      <c r="F142" s="55">
        <f>Saldobalance!D136</f>
        <v>2157</v>
      </c>
      <c r="G142" s="11"/>
      <c r="H142" s="4"/>
      <c r="L142" s="4"/>
    </row>
    <row r="143" spans="1:12" ht="12.75">
      <c r="A143" s="10" t="str">
        <f>Saldobalance!B137</f>
        <v>Gas</v>
      </c>
      <c r="B143" s="55" t="s">
        <v>216</v>
      </c>
      <c r="C143" s="11"/>
      <c r="D143" s="55"/>
      <c r="E143" s="11"/>
      <c r="F143" s="55">
        <f>Saldobalance!D137</f>
        <v>8606</v>
      </c>
      <c r="G143" s="11"/>
      <c r="H143" s="4"/>
      <c r="L143" s="4"/>
    </row>
    <row r="144" spans="1:12" ht="12.75">
      <c r="A144" s="10" t="str">
        <f>Saldobalance!B138</f>
        <v>Vand</v>
      </c>
      <c r="B144" s="55" t="s">
        <v>216</v>
      </c>
      <c r="C144" s="11"/>
      <c r="D144" s="55"/>
      <c r="E144" s="11"/>
      <c r="F144" s="55">
        <f>Saldobalance!D138</f>
        <v>10319</v>
      </c>
      <c r="G144" s="11"/>
      <c r="H144" s="4"/>
      <c r="L144" s="4"/>
    </row>
    <row r="145" spans="1:12" ht="12.75">
      <c r="A145" s="10" t="str">
        <f>Saldobalance!B139</f>
        <v>Salttabletter</v>
      </c>
      <c r="B145" s="55">
        <v>643</v>
      </c>
      <c r="C145" s="11"/>
      <c r="D145" s="55"/>
      <c r="E145" s="11"/>
      <c r="F145" s="55">
        <f>Saldobalance!D139</f>
        <v>1575.56</v>
      </c>
      <c r="G145" s="11"/>
      <c r="H145" s="4"/>
      <c r="L145" s="4"/>
    </row>
    <row r="146" spans="1:12" ht="13.5" thickBot="1">
      <c r="A146" s="21" t="str">
        <f>Saldobalance!B140</f>
        <v>Vaskeriet i alt</v>
      </c>
      <c r="B146" s="37"/>
      <c r="C146" s="7">
        <f>C139+C140-SUM(B141:B145)</f>
        <v>37584.76</v>
      </c>
      <c r="D146" s="37"/>
      <c r="E146" s="7"/>
      <c r="F146" s="37"/>
      <c r="G146" s="7">
        <f>Saldobalance!D140</f>
        <v>-3415.7599999999998</v>
      </c>
      <c r="H146" s="4"/>
      <c r="L146" s="4"/>
    </row>
    <row r="147" spans="8:12" ht="12.75">
      <c r="H147" s="4"/>
      <c r="L147" s="4"/>
    </row>
    <row r="148" spans="8:12" ht="13.5" thickBot="1">
      <c r="H148" s="4"/>
      <c r="L148" s="4"/>
    </row>
    <row r="149" spans="1:12" ht="13.5" thickBot="1">
      <c r="A149" s="23" t="str">
        <f>Saldobalance!B142</f>
        <v>Vand</v>
      </c>
      <c r="B149" s="27" t="str">
        <f>$B$5</f>
        <v>Regnskab </v>
      </c>
      <c r="C149" s="28">
        <f>$C$5</f>
        <v>2010</v>
      </c>
      <c r="D149" s="27"/>
      <c r="E149" s="28"/>
      <c r="F149" s="27" t="str">
        <f>$F$5</f>
        <v>Regnskab </v>
      </c>
      <c r="G149" s="28">
        <f>$G$5</f>
        <v>2011</v>
      </c>
      <c r="H149" s="4"/>
      <c r="L149" s="4"/>
    </row>
    <row r="150" spans="1:12" ht="12.75">
      <c r="A150" s="18"/>
      <c r="B150" s="47" t="s">
        <v>200</v>
      </c>
      <c r="C150" s="48" t="s">
        <v>30</v>
      </c>
      <c r="D150" s="47"/>
      <c r="E150" s="48"/>
      <c r="F150" s="47" t="s">
        <v>200</v>
      </c>
      <c r="G150" s="48" t="s">
        <v>30</v>
      </c>
      <c r="H150" s="4"/>
      <c r="L150" s="4"/>
    </row>
    <row r="151" spans="1:12" ht="12.75">
      <c r="A151" s="29" t="s">
        <v>3</v>
      </c>
      <c r="B151" s="32"/>
      <c r="C151" s="33"/>
      <c r="D151" s="32"/>
      <c r="E151" s="33"/>
      <c r="F151" s="32"/>
      <c r="G151" s="33"/>
      <c r="H151" s="4"/>
      <c r="L151" s="4"/>
    </row>
    <row r="152" spans="1:12" ht="12.75">
      <c r="A152" s="10" t="str">
        <f>Saldobalance!B143</f>
        <v>Vand opkrævet</v>
      </c>
      <c r="B152" s="55"/>
      <c r="C152" s="11" t="s">
        <v>216</v>
      </c>
      <c r="D152" s="55"/>
      <c r="E152" s="11"/>
      <c r="F152" s="55"/>
      <c r="G152" s="11">
        <f>Saldobalance!D143</f>
        <v>-156808</v>
      </c>
      <c r="H152" s="4"/>
      <c r="L152" s="4"/>
    </row>
    <row r="153" spans="1:13" ht="12.75">
      <c r="A153" s="10" t="str">
        <f>Saldobalance!B144</f>
        <v>Vand Fælleshuset</v>
      </c>
      <c r="B153" s="55"/>
      <c r="C153" s="11">
        <v>24764</v>
      </c>
      <c r="D153" s="55"/>
      <c r="E153" s="11"/>
      <c r="F153" s="55"/>
      <c r="G153" s="11">
        <f>Saldobalance!D144</f>
        <v>-9380</v>
      </c>
      <c r="H153" s="4"/>
      <c r="I153" s="3"/>
      <c r="J153" s="3"/>
      <c r="L153" s="4"/>
      <c r="M153" s="3"/>
    </row>
    <row r="154" spans="1:15" s="3" customFormat="1" ht="12.75">
      <c r="A154" s="10" t="str">
        <f>Saldobalance!B145</f>
        <v>Vand vaskeriet</v>
      </c>
      <c r="B154" s="54"/>
      <c r="C154" s="11" t="s">
        <v>216</v>
      </c>
      <c r="D154" s="54"/>
      <c r="E154" s="11"/>
      <c r="F154" s="55"/>
      <c r="G154" s="11">
        <f>Saldobalance!D145</f>
        <v>-10319</v>
      </c>
      <c r="H154" s="4"/>
      <c r="I154" s="20"/>
      <c r="J154" s="20"/>
      <c r="L154" s="4"/>
      <c r="M154" s="20"/>
      <c r="N154" s="20"/>
      <c r="O154" s="20"/>
    </row>
    <row r="155" spans="1:15" ht="12.75">
      <c r="A155" s="10" t="str">
        <f>Saldobalance!B146</f>
        <v>Vand Fredensborg Forsyning</v>
      </c>
      <c r="B155" s="55" t="s">
        <v>216</v>
      </c>
      <c r="C155" s="11"/>
      <c r="D155" s="55"/>
      <c r="E155" s="11"/>
      <c r="F155" s="55">
        <f>Saldobalance!D146</f>
        <v>204007.31</v>
      </c>
      <c r="G155" s="11"/>
      <c r="H155" s="4"/>
      <c r="L155" s="4"/>
      <c r="N155" s="3"/>
      <c r="O155" s="3"/>
    </row>
    <row r="156" spans="1:12" ht="13.5" thickBot="1">
      <c r="A156" s="21" t="str">
        <f>Saldobalance!B147</f>
        <v>Vand i alt</v>
      </c>
      <c r="B156" s="37"/>
      <c r="C156" s="7" t="e">
        <f>SUM(C152:C154)-B155</f>
        <v>#VALUE!</v>
      </c>
      <c r="D156" s="37"/>
      <c r="E156" s="7"/>
      <c r="F156" s="37"/>
      <c r="G156" s="7">
        <f>Saldobalance!D147</f>
        <v>27500.309999999998</v>
      </c>
      <c r="H156" s="4"/>
      <c r="L156" s="4"/>
    </row>
    <row r="157" spans="8:12" ht="12.75">
      <c r="H157" s="4"/>
      <c r="L157" s="4"/>
    </row>
    <row r="158" spans="8:12" ht="13.5" thickBot="1">
      <c r="H158" s="4"/>
      <c r="L158" s="4"/>
    </row>
    <row r="159" spans="1:12" ht="13.5" thickBot="1">
      <c r="A159" s="23" t="str">
        <f>Saldobalance!B149</f>
        <v>Varme</v>
      </c>
      <c r="B159" s="27" t="str">
        <f>$B$5</f>
        <v>Regnskab </v>
      </c>
      <c r="C159" s="28">
        <f>$C$5</f>
        <v>2010</v>
      </c>
      <c r="D159" s="27"/>
      <c r="E159" s="28"/>
      <c r="F159" s="27" t="str">
        <f>$F$5</f>
        <v>Regnskab </v>
      </c>
      <c r="G159" s="28">
        <f>$G$5</f>
        <v>2011</v>
      </c>
      <c r="H159" s="4"/>
      <c r="L159" s="4"/>
    </row>
    <row r="160" spans="1:12" ht="12.75">
      <c r="A160" s="18"/>
      <c r="B160" s="47" t="s">
        <v>200</v>
      </c>
      <c r="C160" s="48" t="s">
        <v>30</v>
      </c>
      <c r="D160" s="47"/>
      <c r="E160" s="48"/>
      <c r="F160" s="47" t="s">
        <v>200</v>
      </c>
      <c r="G160" s="48" t="s">
        <v>30</v>
      </c>
      <c r="H160" s="4"/>
      <c r="L160" s="4"/>
    </row>
    <row r="161" spans="1:12" ht="12.75">
      <c r="A161" s="29" t="s">
        <v>3</v>
      </c>
      <c r="B161" s="32"/>
      <c r="C161" s="33"/>
      <c r="D161" s="32"/>
      <c r="E161" s="33"/>
      <c r="F161" s="32"/>
      <c r="G161" s="33"/>
      <c r="H161" s="4"/>
      <c r="L161" s="4"/>
    </row>
    <row r="162" spans="1:12" ht="12.75">
      <c r="A162" s="10" t="str">
        <f>Saldobalance!B150</f>
        <v>Varme opkrævet</v>
      </c>
      <c r="B162" s="55"/>
      <c r="C162" s="11" t="s">
        <v>216</v>
      </c>
      <c r="D162" s="55"/>
      <c r="E162" s="11"/>
      <c r="F162" s="55"/>
      <c r="G162" s="11">
        <f>Saldobalance!D150</f>
        <v>-404294</v>
      </c>
      <c r="H162" s="4"/>
      <c r="L162" s="4"/>
    </row>
    <row r="163" spans="1:13" ht="12.75">
      <c r="A163" s="10" t="str">
        <f>Saldobalance!B151</f>
        <v>Varme Fælleshuset</v>
      </c>
      <c r="B163" s="55"/>
      <c r="C163" s="11">
        <f>B105</f>
        <v>40085</v>
      </c>
      <c r="D163" s="55"/>
      <c r="E163" s="11"/>
      <c r="F163" s="55"/>
      <c r="G163" s="11">
        <f>Saldobalance!D151</f>
        <v>-54906</v>
      </c>
      <c r="H163" s="4"/>
      <c r="I163" s="3"/>
      <c r="J163" s="3"/>
      <c r="L163" s="4"/>
      <c r="M163" s="3"/>
    </row>
    <row r="164" spans="1:15" s="3" customFormat="1" ht="12.75">
      <c r="A164" s="10" t="str">
        <f>Saldobalance!B152</f>
        <v>Gas vaskeriet</v>
      </c>
      <c r="B164" s="54"/>
      <c r="C164" s="11" t="str">
        <f>B143</f>
        <v>??</v>
      </c>
      <c r="D164" s="54"/>
      <c r="E164" s="11"/>
      <c r="F164" s="54"/>
      <c r="G164" s="11">
        <f>Saldobalance!D152</f>
        <v>-8606</v>
      </c>
      <c r="H164" s="4"/>
      <c r="L164" s="4"/>
      <c r="N164" s="20"/>
      <c r="O164" s="20"/>
    </row>
    <row r="165" spans="1:13" s="3" customFormat="1" ht="12.75">
      <c r="A165" s="10" t="str">
        <f>Saldobalance!B153</f>
        <v>HNG</v>
      </c>
      <c r="B165" s="54" t="s">
        <v>216</v>
      </c>
      <c r="C165" s="11"/>
      <c r="D165" s="54"/>
      <c r="E165" s="11"/>
      <c r="F165" s="54">
        <f>Saldobalance!D153</f>
        <v>443087.05</v>
      </c>
      <c r="G165" s="11"/>
      <c r="H165" s="4"/>
      <c r="I165" s="20"/>
      <c r="J165" s="20"/>
      <c r="L165" s="4"/>
      <c r="M165" s="20"/>
    </row>
    <row r="166" spans="1:15" ht="13.5" thickBot="1">
      <c r="A166" s="21" t="str">
        <f>Saldobalance!B154</f>
        <v>Varme i alt</v>
      </c>
      <c r="B166" s="37"/>
      <c r="C166" s="7" t="e">
        <f>C162+C163+C164-B165</f>
        <v>#VALUE!</v>
      </c>
      <c r="D166" s="37"/>
      <c r="E166" s="7"/>
      <c r="F166" s="37"/>
      <c r="G166" s="7">
        <f>Saldobalance!D154</f>
        <v>-24718.95000000001</v>
      </c>
      <c r="H166" s="4"/>
      <c r="L166" s="4"/>
      <c r="N166" s="3"/>
      <c r="O166" s="3"/>
    </row>
    <row r="167" spans="8:12" ht="12.75">
      <c r="H167" s="4"/>
      <c r="L167" s="4"/>
    </row>
    <row r="168" spans="8:12" ht="13.5" thickBot="1">
      <c r="H168" s="4"/>
      <c r="L168" s="4"/>
    </row>
    <row r="169" spans="1:12" ht="13.5" thickBot="1">
      <c r="A169" s="23" t="str">
        <f>Saldobalance!B156</f>
        <v>Renovation</v>
      </c>
      <c r="B169" s="27" t="str">
        <f>$B$5</f>
        <v>Regnskab </v>
      </c>
      <c r="C169" s="28">
        <f>$C$5</f>
        <v>2010</v>
      </c>
      <c r="D169" s="27"/>
      <c r="E169" s="28"/>
      <c r="F169" s="27" t="str">
        <f>$F$5</f>
        <v>Regnskab </v>
      </c>
      <c r="G169" s="28">
        <f>$G$5</f>
        <v>2011</v>
      </c>
      <c r="H169" s="4"/>
      <c r="L169" s="4"/>
    </row>
    <row r="170" spans="1:12" ht="12.75">
      <c r="A170" s="18"/>
      <c r="B170" s="47" t="s">
        <v>200</v>
      </c>
      <c r="C170" s="48" t="s">
        <v>30</v>
      </c>
      <c r="D170" s="47"/>
      <c r="E170" s="48"/>
      <c r="F170" s="47" t="s">
        <v>200</v>
      </c>
      <c r="G170" s="48" t="s">
        <v>30</v>
      </c>
      <c r="H170" s="4"/>
      <c r="L170" s="4"/>
    </row>
    <row r="171" spans="1:12" ht="12.75">
      <c r="A171" s="29" t="s">
        <v>3</v>
      </c>
      <c r="B171" s="32"/>
      <c r="C171" s="33"/>
      <c r="D171" s="32"/>
      <c r="E171" s="33"/>
      <c r="F171" s="32"/>
      <c r="G171" s="33"/>
      <c r="H171" s="4"/>
      <c r="L171" s="4"/>
    </row>
    <row r="172" spans="1:12" ht="12.75">
      <c r="A172" s="10" t="str">
        <f>Saldobalance!B157</f>
        <v>Renovation opkrævet</v>
      </c>
      <c r="B172" s="55"/>
      <c r="C172" s="11" t="s">
        <v>216</v>
      </c>
      <c r="D172" s="55"/>
      <c r="E172" s="11"/>
      <c r="F172" s="55"/>
      <c r="G172" s="11">
        <f>Saldobalance!D157</f>
        <v>-36000</v>
      </c>
      <c r="H172" s="4"/>
      <c r="L172" s="4"/>
    </row>
    <row r="173" spans="1:12" ht="12.75">
      <c r="A173" s="10" t="str">
        <f>Saldobalance!B158</f>
        <v>Renovation Fælleshuset</v>
      </c>
      <c r="B173" s="55"/>
      <c r="C173" s="11">
        <f>B103</f>
        <v>60934.04</v>
      </c>
      <c r="D173" s="55"/>
      <c r="E173" s="11"/>
      <c r="F173" s="55"/>
      <c r="G173" s="11">
        <f>Saldobalance!D158</f>
        <v>-53130</v>
      </c>
      <c r="H173" s="4"/>
      <c r="L173" s="4"/>
    </row>
    <row r="174" spans="1:12" ht="12.75">
      <c r="A174" s="10" t="str">
        <f>Saldobalance!B159</f>
        <v>Renovation Fredensborg Forsyning</v>
      </c>
      <c r="B174" s="55" t="s">
        <v>216</v>
      </c>
      <c r="C174" s="11"/>
      <c r="D174" s="55"/>
      <c r="E174" s="11"/>
      <c r="F174" s="55">
        <f>Saldobalance!D159</f>
        <v>89131.3</v>
      </c>
      <c r="G174" s="11"/>
      <c r="H174" s="4"/>
      <c r="L174" s="4"/>
    </row>
    <row r="175" spans="1:12" ht="13.5" thickBot="1">
      <c r="A175" s="21" t="str">
        <f>Saldobalance!B160</f>
        <v>Renovation i alt</v>
      </c>
      <c r="B175" s="41"/>
      <c r="C175" s="22">
        <v>0</v>
      </c>
      <c r="D175" s="41"/>
      <c r="E175" s="22"/>
      <c r="F175" s="41"/>
      <c r="G175" s="22">
        <f>Saldobalance!D160</f>
        <v>1.3000000000029104</v>
      </c>
      <c r="H175" s="4"/>
      <c r="L175" s="4"/>
    </row>
    <row r="176" spans="8:12" ht="12.75">
      <c r="H176" s="4"/>
      <c r="L176" s="4"/>
    </row>
    <row r="177" spans="8:12" ht="13.5" thickBot="1">
      <c r="H177" s="4"/>
      <c r="L177" s="4"/>
    </row>
    <row r="178" spans="1:12" ht="13.5" thickBot="1">
      <c r="A178" s="23" t="str">
        <f>Saldobalance!B162</f>
        <v>TV</v>
      </c>
      <c r="B178" s="27" t="str">
        <f>$B$5</f>
        <v>Regnskab </v>
      </c>
      <c r="C178" s="28">
        <f>$C$5</f>
        <v>2010</v>
      </c>
      <c r="D178" s="27"/>
      <c r="E178" s="28"/>
      <c r="F178" s="27" t="str">
        <f>$F$5</f>
        <v>Regnskab </v>
      </c>
      <c r="G178" s="28">
        <f>$G$5</f>
        <v>2011</v>
      </c>
      <c r="H178" s="4"/>
      <c r="L178" s="4"/>
    </row>
    <row r="179" spans="1:12" ht="12.75">
      <c r="A179" s="18"/>
      <c r="B179" s="47" t="s">
        <v>200</v>
      </c>
      <c r="C179" s="48" t="s">
        <v>30</v>
      </c>
      <c r="D179" s="47"/>
      <c r="E179" s="48"/>
      <c r="F179" s="47" t="s">
        <v>200</v>
      </c>
      <c r="G179" s="48" t="s">
        <v>30</v>
      </c>
      <c r="H179" s="4"/>
      <c r="L179" s="4"/>
    </row>
    <row r="180" spans="1:12" ht="12.75">
      <c r="A180" s="29" t="s">
        <v>3</v>
      </c>
      <c r="B180" s="32"/>
      <c r="C180" s="33"/>
      <c r="D180" s="32"/>
      <c r="E180" s="33"/>
      <c r="F180" s="32"/>
      <c r="G180" s="33"/>
      <c r="H180" s="4"/>
      <c r="L180" s="4"/>
    </row>
    <row r="181" spans="1:12" ht="12.75">
      <c r="A181" s="10" t="str">
        <f>Saldobalance!B163</f>
        <v>TV opkrævet</v>
      </c>
      <c r="B181" s="55"/>
      <c r="C181" s="11" t="s">
        <v>216</v>
      </c>
      <c r="D181" s="55"/>
      <c r="E181" s="11"/>
      <c r="F181" s="55"/>
      <c r="G181" s="11">
        <f>Saldobalance!D163</f>
        <v>-62211.2</v>
      </c>
      <c r="H181" s="4"/>
      <c r="L181" s="4"/>
    </row>
    <row r="182" spans="1:13" ht="12.75">
      <c r="A182" s="10" t="str">
        <f>Saldobalance!B164</f>
        <v>TV Fælleshuset</v>
      </c>
      <c r="B182" s="55"/>
      <c r="C182" s="11">
        <f>B50</f>
        <v>2400</v>
      </c>
      <c r="D182" s="55"/>
      <c r="E182" s="11"/>
      <c r="F182" s="55"/>
      <c r="G182" s="11">
        <f>Saldobalance!D164</f>
        <v>-3679.7</v>
      </c>
      <c r="H182" s="4"/>
      <c r="I182" s="3"/>
      <c r="J182" s="3"/>
      <c r="L182" s="4"/>
      <c r="M182" s="3"/>
    </row>
    <row r="183" spans="1:15" s="3" customFormat="1" ht="12.75">
      <c r="A183" s="10" t="str">
        <f>Saldobalance!B165</f>
        <v>YouSee og andre</v>
      </c>
      <c r="B183" s="54" t="s">
        <v>217</v>
      </c>
      <c r="C183" s="11"/>
      <c r="D183" s="54"/>
      <c r="E183" s="11"/>
      <c r="F183" s="54">
        <f>Saldobalance!D165</f>
        <v>65803.31</v>
      </c>
      <c r="G183" s="11"/>
      <c r="H183" s="4"/>
      <c r="I183" s="4"/>
      <c r="J183" s="20"/>
      <c r="L183" s="4"/>
      <c r="M183" s="20"/>
      <c r="N183" s="20"/>
      <c r="O183" s="20"/>
    </row>
    <row r="184" spans="1:15" ht="13.5" thickBot="1">
      <c r="A184" s="21" t="str">
        <f>Saldobalance!B166</f>
        <v>TV i alt</v>
      </c>
      <c r="B184" s="37"/>
      <c r="C184" s="7" t="e">
        <f>C181+C182-B183</f>
        <v>#VALUE!</v>
      </c>
      <c r="D184" s="37"/>
      <c r="E184" s="7"/>
      <c r="F184" s="37"/>
      <c r="G184" s="7">
        <f>Saldobalance!D166</f>
        <v>-87.58999999999651</v>
      </c>
      <c r="H184" s="4"/>
      <c r="I184" s="4"/>
      <c r="L184" s="4"/>
      <c r="N184" s="3"/>
      <c r="O184" s="3"/>
    </row>
    <row r="185" spans="8:12" ht="12.75">
      <c r="H185" s="4"/>
      <c r="L185" s="4"/>
    </row>
    <row r="186" spans="8:12" ht="13.5" thickBot="1">
      <c r="H186" s="4"/>
      <c r="L186" s="4"/>
    </row>
    <row r="187" spans="1:12" ht="13.5" thickBot="1">
      <c r="A187" s="23" t="str">
        <f>Saldobalance!B168</f>
        <v>Fadøl</v>
      </c>
      <c r="B187" s="27" t="str">
        <f>$B$5</f>
        <v>Regnskab </v>
      </c>
      <c r="C187" s="28">
        <f>$C$5</f>
        <v>2010</v>
      </c>
      <c r="D187" s="27"/>
      <c r="E187" s="28"/>
      <c r="F187" s="27" t="str">
        <f>$F$5</f>
        <v>Regnskab </v>
      </c>
      <c r="G187" s="28">
        <f>$G$5</f>
        <v>2011</v>
      </c>
      <c r="H187" s="4"/>
      <c r="L187" s="4"/>
    </row>
    <row r="188" spans="1:12" ht="12.75">
      <c r="A188" s="18"/>
      <c r="B188" s="47" t="s">
        <v>200</v>
      </c>
      <c r="C188" s="48" t="s">
        <v>30</v>
      </c>
      <c r="D188" s="47"/>
      <c r="E188" s="48"/>
      <c r="F188" s="47" t="s">
        <v>200</v>
      </c>
      <c r="G188" s="48" t="s">
        <v>30</v>
      </c>
      <c r="H188" s="4"/>
      <c r="L188" s="4"/>
    </row>
    <row r="189" spans="1:12" ht="12.75">
      <c r="A189" s="29" t="s">
        <v>3</v>
      </c>
      <c r="B189" s="32"/>
      <c r="C189" s="33"/>
      <c r="D189" s="32"/>
      <c r="E189" s="33"/>
      <c r="F189" s="32"/>
      <c r="G189" s="33"/>
      <c r="H189" s="4"/>
      <c r="L189" s="4"/>
    </row>
    <row r="190" spans="1:12" ht="12.75">
      <c r="A190" s="10" t="str">
        <f>Saldobalance!B169</f>
        <v>Øl opkrævet</v>
      </c>
      <c r="B190" s="55"/>
      <c r="C190" s="11">
        <v>25325</v>
      </c>
      <c r="D190" s="55"/>
      <c r="E190" s="11"/>
      <c r="F190" s="55"/>
      <c r="G190" s="11">
        <f>Saldobalance!D169</f>
        <v>-20685</v>
      </c>
      <c r="H190" s="4"/>
      <c r="L190" s="4"/>
    </row>
    <row r="191" spans="1:12" ht="12.75">
      <c r="A191" s="10" t="str">
        <f>Saldobalance!B170</f>
        <v>Øl Fælleshuset</v>
      </c>
      <c r="B191" s="55"/>
      <c r="C191" s="11" t="s">
        <v>216</v>
      </c>
      <c r="D191" s="55"/>
      <c r="E191" s="11"/>
      <c r="F191" s="55"/>
      <c r="G191" s="11">
        <f>Saldobalance!D170</f>
        <v>-5565</v>
      </c>
      <c r="H191" s="4"/>
      <c r="I191" s="3"/>
      <c r="J191" s="3"/>
      <c r="L191" s="4"/>
    </row>
    <row r="192" spans="1:13" ht="12.75">
      <c r="A192" s="10" t="str">
        <f>Saldobalance!B171</f>
        <v>Regulering af lagerbeholdning</v>
      </c>
      <c r="B192" s="55"/>
      <c r="C192" s="11" t="s">
        <v>216</v>
      </c>
      <c r="D192" s="55"/>
      <c r="E192" s="11"/>
      <c r="F192" s="55">
        <f>Saldobalance!D171</f>
        <v>4059</v>
      </c>
      <c r="G192" s="11"/>
      <c r="H192" s="4"/>
      <c r="I192" s="3"/>
      <c r="J192" s="3"/>
      <c r="L192" s="4"/>
      <c r="M192" s="3"/>
    </row>
    <row r="193" spans="1:15" s="3" customFormat="1" ht="12.75">
      <c r="A193" s="10" t="str">
        <f>Saldobalance!B172</f>
        <v>Tuborg og andre</v>
      </c>
      <c r="B193" s="55">
        <v>26927</v>
      </c>
      <c r="C193" s="11"/>
      <c r="D193" s="54"/>
      <c r="E193" s="11"/>
      <c r="F193" s="54">
        <f>Saldobalance!D172</f>
        <v>21589.45</v>
      </c>
      <c r="G193" s="11"/>
      <c r="H193" s="4"/>
      <c r="I193" s="20"/>
      <c r="J193" s="20"/>
      <c r="L193" s="4"/>
      <c r="M193" s="20"/>
      <c r="N193" s="20"/>
      <c r="O193" s="20"/>
    </row>
    <row r="194" spans="1:15" ht="13.5" thickBot="1">
      <c r="A194" s="21" t="str">
        <f>Saldobalance!B173</f>
        <v>Fadøl i alt</v>
      </c>
      <c r="B194" s="37"/>
      <c r="C194" s="7" t="e">
        <f>C190+C191-B193</f>
        <v>#VALUE!</v>
      </c>
      <c r="D194" s="37"/>
      <c r="E194" s="7"/>
      <c r="F194" s="37"/>
      <c r="G194" s="7">
        <f>Saldobalance!D173</f>
        <v>-601.5499999999993</v>
      </c>
      <c r="H194" s="4"/>
      <c r="L194" s="4"/>
      <c r="N194" s="3"/>
      <c r="O194" s="3"/>
    </row>
    <row r="195" spans="8:12" ht="12.75">
      <c r="H195" s="4"/>
      <c r="L195" s="4"/>
    </row>
    <row r="196" spans="8:12" ht="13.5" thickBot="1">
      <c r="H196" s="4"/>
      <c r="L196" s="4"/>
    </row>
    <row r="197" spans="1:12" ht="13.5" thickBot="1">
      <c r="A197" s="23" t="str">
        <f>Saldobalance!B175</f>
        <v>Mælk</v>
      </c>
      <c r="B197" s="27" t="str">
        <f>$B$5</f>
        <v>Regnskab </v>
      </c>
      <c r="C197" s="28">
        <f>$C$5</f>
        <v>2010</v>
      </c>
      <c r="D197" s="27"/>
      <c r="E197" s="28"/>
      <c r="F197" s="27" t="str">
        <f>$F$5</f>
        <v>Regnskab </v>
      </c>
      <c r="G197" s="28">
        <f>$G$5</f>
        <v>2011</v>
      </c>
      <c r="H197" s="4"/>
      <c r="L197" s="4"/>
    </row>
    <row r="198" spans="1:12" ht="12.75">
      <c r="A198" s="18"/>
      <c r="B198" s="47" t="s">
        <v>200</v>
      </c>
      <c r="C198" s="48" t="s">
        <v>30</v>
      </c>
      <c r="D198" s="47"/>
      <c r="E198" s="48"/>
      <c r="F198" s="47" t="s">
        <v>200</v>
      </c>
      <c r="G198" s="48" t="s">
        <v>30</v>
      </c>
      <c r="H198" s="4"/>
      <c r="L198" s="4"/>
    </row>
    <row r="199" spans="1:12" ht="12.75">
      <c r="A199" s="29" t="s">
        <v>3</v>
      </c>
      <c r="B199" s="32"/>
      <c r="C199" s="33"/>
      <c r="D199" s="32"/>
      <c r="E199" s="33"/>
      <c r="F199" s="32"/>
      <c r="G199" s="33"/>
      <c r="H199" s="4"/>
      <c r="L199" s="4"/>
    </row>
    <row r="200" spans="1:13" ht="12.75">
      <c r="A200" s="10" t="str">
        <f>Saldobalance!B176</f>
        <v>Mælk opkrævet</v>
      </c>
      <c r="B200" s="55"/>
      <c r="C200" s="11" t="s">
        <v>216</v>
      </c>
      <c r="D200" s="55"/>
      <c r="E200" s="11"/>
      <c r="F200" s="55"/>
      <c r="G200" s="11">
        <f>Saldobalance!D176</f>
        <v>-10367.19</v>
      </c>
      <c r="H200" s="4"/>
      <c r="I200" s="3"/>
      <c r="J200" s="3"/>
      <c r="L200" s="4"/>
      <c r="M200" s="3"/>
    </row>
    <row r="201" spans="1:15" s="3" customFormat="1" ht="12.75">
      <c r="A201" s="10" t="str">
        <f>Saldobalance!B177</f>
        <v>Øllingegård</v>
      </c>
      <c r="B201" s="54" t="s">
        <v>216</v>
      </c>
      <c r="C201" s="11"/>
      <c r="D201" s="54"/>
      <c r="E201" s="11"/>
      <c r="F201" s="54">
        <f>Saldobalance!D177</f>
        <v>10367.19</v>
      </c>
      <c r="G201" s="11"/>
      <c r="H201" s="4"/>
      <c r="I201" s="20"/>
      <c r="J201" s="20"/>
      <c r="L201" s="4"/>
      <c r="M201" s="20"/>
      <c r="N201" s="20"/>
      <c r="O201" s="20"/>
    </row>
    <row r="202" spans="1:15" ht="13.5" thickBot="1">
      <c r="A202" s="21" t="str">
        <f>Saldobalance!B178</f>
        <v>Mælk i alt</v>
      </c>
      <c r="B202" s="37"/>
      <c r="C202" s="7" t="e">
        <f>C200-B201</f>
        <v>#VALUE!</v>
      </c>
      <c r="D202" s="37"/>
      <c r="E202" s="7"/>
      <c r="F202" s="37"/>
      <c r="G202" s="7">
        <f>Saldobalance!D178</f>
        <v>0</v>
      </c>
      <c r="H202" s="4"/>
      <c r="L202" s="4"/>
      <c r="N202" s="3"/>
      <c r="O202" s="3"/>
    </row>
    <row r="203" spans="8:12" ht="12.75">
      <c r="H203" s="4"/>
      <c r="L203" s="4"/>
    </row>
    <row r="204" spans="8:12" ht="13.5" thickBot="1">
      <c r="H204" s="4"/>
      <c r="L204" s="4"/>
    </row>
    <row r="205" spans="1:12" ht="13.5" thickBot="1">
      <c r="A205" s="23" t="str">
        <f>Saldobalance!B180</f>
        <v>Deltagerbetalte arrangementer</v>
      </c>
      <c r="B205" s="27" t="str">
        <f>$B$5</f>
        <v>Regnskab </v>
      </c>
      <c r="C205" s="28">
        <f>$C$5</f>
        <v>2010</v>
      </c>
      <c r="D205" s="27"/>
      <c r="E205" s="28"/>
      <c r="F205" s="27" t="str">
        <f>$F$5</f>
        <v>Regnskab </v>
      </c>
      <c r="G205" s="28">
        <f>$G$5</f>
        <v>2011</v>
      </c>
      <c r="H205" s="4"/>
      <c r="L205" s="4"/>
    </row>
    <row r="206" spans="1:12" ht="12.75">
      <c r="A206" s="18"/>
      <c r="B206" s="47" t="s">
        <v>200</v>
      </c>
      <c r="C206" s="48" t="s">
        <v>30</v>
      </c>
      <c r="D206" s="47"/>
      <c r="E206" s="48"/>
      <c r="F206" s="47" t="s">
        <v>200</v>
      </c>
      <c r="G206" s="48" t="s">
        <v>30</v>
      </c>
      <c r="H206" s="4"/>
      <c r="L206" s="4"/>
    </row>
    <row r="207" spans="1:12" ht="12.75">
      <c r="A207" s="29" t="s">
        <v>3</v>
      </c>
      <c r="B207" s="32"/>
      <c r="C207" s="33"/>
      <c r="D207" s="32"/>
      <c r="E207" s="33"/>
      <c r="F207" s="32"/>
      <c r="G207" s="33"/>
      <c r="H207" s="4"/>
      <c r="L207" s="4"/>
    </row>
    <row r="208" spans="1:13" ht="12.75">
      <c r="A208" s="10" t="str">
        <f>Saldobalance!B181</f>
        <v>Kultur opkrævet</v>
      </c>
      <c r="B208" s="55"/>
      <c r="C208" s="11" t="s">
        <v>216</v>
      </c>
      <c r="D208" s="55"/>
      <c r="E208" s="11"/>
      <c r="F208" s="55"/>
      <c r="G208" s="11">
        <f>Saldobalance!D181</f>
        <v>-16527.8</v>
      </c>
      <c r="H208" s="4"/>
      <c r="I208" s="3"/>
      <c r="J208" s="3"/>
      <c r="L208" s="4"/>
      <c r="M208" s="3"/>
    </row>
    <row r="209" spans="1:15" s="3" customFormat="1" ht="12.75">
      <c r="A209" s="10" t="str">
        <f>Saldobalance!B182</f>
        <v>Kultur udlæg</v>
      </c>
      <c r="B209" s="54" t="s">
        <v>216</v>
      </c>
      <c r="C209" s="11"/>
      <c r="D209" s="54"/>
      <c r="E209" s="11"/>
      <c r="F209" s="54">
        <f>Saldobalance!D182</f>
        <v>16513.55</v>
      </c>
      <c r="G209" s="11"/>
      <c r="H209" s="4"/>
      <c r="I209" s="20"/>
      <c r="J209" s="20"/>
      <c r="L209" s="4"/>
      <c r="M209" s="20"/>
      <c r="N209" s="20"/>
      <c r="O209" s="20"/>
    </row>
    <row r="210" spans="1:15" ht="13.5" thickBot="1">
      <c r="A210" s="21" t="str">
        <f>Saldobalance!B183</f>
        <v>Deltagerbetalte arrangementer i alt</v>
      </c>
      <c r="B210" s="37"/>
      <c r="C210" s="7" t="e">
        <f>C208-B209</f>
        <v>#VALUE!</v>
      </c>
      <c r="D210" s="37"/>
      <c r="E210" s="7"/>
      <c r="F210" s="37"/>
      <c r="G210" s="7">
        <f>Saldobalance!D183</f>
        <v>-14.25</v>
      </c>
      <c r="H210" s="4"/>
      <c r="L210" s="4"/>
      <c r="N210" s="3"/>
      <c r="O210" s="3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</sheetData>
  <sheetProtection password="F3CB" sheet="1"/>
  <protectedRanges>
    <protectedRange sqref="B2 D2 F2 H2 L2" name="Omr?de1"/>
    <protectedRange sqref="O4:O5" name="Omr?de2"/>
    <protectedRange sqref="B7:C210" name="Omr?de3"/>
    <protectedRange sqref="J9:K133" name="Omr?de4"/>
  </protectedRanges>
  <printOptions/>
  <pageMargins left="0.75" right="0.75" top="0.55" bottom="0.45" header="0" footer="0"/>
  <pageSetup fitToHeight="0" fitToWidth="1" horizontalDpi="600" verticalDpi="600" orientation="landscape" paperSize="9" scale="79" r:id="rId1"/>
  <headerFooter alignWithMargins="0">
    <oddHeader>&amp;LBofællesskabet Bakken&amp;CRegnskab 2011 / Budget 2012</oddHeader>
    <oddFooter>&amp;LMik og Mette&amp;C26. februar 2012&amp;RSide &amp;P</oddFooter>
  </headerFooter>
  <rowBreaks count="4" manualBreakCount="4">
    <brk id="44" max="13" man="1"/>
    <brk id="80" max="255" man="1"/>
    <brk id="132" max="255" man="1"/>
    <brk id="1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67"/>
  <sheetViews>
    <sheetView zoomScalePageLayoutView="0" workbookViewId="0" topLeftCell="A208">
      <selection activeCell="D227" sqref="D227"/>
    </sheetView>
  </sheetViews>
  <sheetFormatPr defaultColWidth="9.140625" defaultRowHeight="12.75"/>
  <cols>
    <col min="1" max="1" width="5.00390625" style="0" bestFit="1" customWidth="1"/>
    <col min="2" max="2" width="34.8515625" style="0" bestFit="1" customWidth="1"/>
    <col min="3" max="3" width="11.57421875" style="0" bestFit="1" customWidth="1"/>
    <col min="4" max="5" width="13.421875" style="0" bestFit="1" customWidth="1"/>
  </cols>
  <sheetData>
    <row r="1" spans="1:25" ht="12.75" customHeight="1">
      <c r="A1" s="137" t="s">
        <v>202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</row>
    <row r="2" spans="1:5" ht="15" customHeight="1">
      <c r="A2" s="96" t="s">
        <v>203</v>
      </c>
      <c r="B2" s="96" t="s">
        <v>101</v>
      </c>
      <c r="C2" s="97" t="s">
        <v>204</v>
      </c>
      <c r="D2" s="97" t="s">
        <v>205</v>
      </c>
      <c r="E2" s="97" t="s">
        <v>206</v>
      </c>
    </row>
    <row r="3" spans="1:5" ht="12.75">
      <c r="A3" s="69"/>
      <c r="B3" s="96" t="s">
        <v>111</v>
      </c>
      <c r="C3" s="69"/>
      <c r="D3" s="69"/>
      <c r="E3" s="69"/>
    </row>
    <row r="4" spans="1:5" ht="12.75">
      <c r="A4" s="69"/>
      <c r="B4" s="69"/>
      <c r="C4" s="69"/>
      <c r="D4" s="69"/>
      <c r="E4" s="69"/>
    </row>
    <row r="5" spans="1:5" ht="12.75">
      <c r="A5" s="69"/>
      <c r="B5" s="96" t="s">
        <v>196</v>
      </c>
      <c r="C5" s="69"/>
      <c r="D5" s="69"/>
      <c r="E5" s="69"/>
    </row>
    <row r="6" spans="1:5" ht="12.75">
      <c r="A6" s="70">
        <v>1010</v>
      </c>
      <c r="B6" s="69" t="s">
        <v>29</v>
      </c>
      <c r="C6" s="71">
        <v>-752145</v>
      </c>
      <c r="D6" s="71">
        <v>-746000</v>
      </c>
      <c r="E6" s="71">
        <f>D6-C6</f>
        <v>6145</v>
      </c>
    </row>
    <row r="7" spans="1:5" ht="12.75">
      <c r="A7" s="70">
        <v>1020</v>
      </c>
      <c r="B7" s="69" t="s">
        <v>31</v>
      </c>
      <c r="C7" s="71">
        <v>-45128.7</v>
      </c>
      <c r="D7" s="71">
        <v>-47286</v>
      </c>
      <c r="E7" s="71">
        <f>D7-C7</f>
        <v>-2157.300000000003</v>
      </c>
    </row>
    <row r="8" spans="1:5" ht="12.75">
      <c r="A8" s="70">
        <v>1030</v>
      </c>
      <c r="B8" s="69" t="s">
        <v>255</v>
      </c>
      <c r="C8" s="71">
        <v>-4000</v>
      </c>
      <c r="D8" s="71">
        <v>-4681.39</v>
      </c>
      <c r="E8" s="71">
        <f>D8-C8</f>
        <v>-681.3900000000003</v>
      </c>
    </row>
    <row r="9" spans="1:5" ht="12.75">
      <c r="A9" s="70">
        <v>1040</v>
      </c>
      <c r="B9" s="69" t="s">
        <v>7</v>
      </c>
      <c r="C9" s="71">
        <v>0</v>
      </c>
      <c r="D9" s="71">
        <v>0</v>
      </c>
      <c r="E9" s="71">
        <f>D9-C9</f>
        <v>0</v>
      </c>
    </row>
    <row r="10" spans="1:5" ht="12.75">
      <c r="A10" s="69"/>
      <c r="B10" s="96" t="s">
        <v>112</v>
      </c>
      <c r="C10" s="98">
        <f>+SUM(C6:C9)</f>
        <v>-801273.7</v>
      </c>
      <c r="D10" s="98">
        <f>+SUM(D6:D9)</f>
        <v>-797967.39</v>
      </c>
      <c r="E10" s="98">
        <f>D10-C10</f>
        <v>3306.3099999999395</v>
      </c>
    </row>
    <row r="11" spans="1:5" ht="12.75">
      <c r="A11" s="69"/>
      <c r="B11" s="69"/>
      <c r="C11" s="69"/>
      <c r="D11" s="69"/>
      <c r="E11" s="69"/>
    </row>
    <row r="12" spans="1:5" ht="12.75">
      <c r="A12" s="69"/>
      <c r="B12" s="96" t="s">
        <v>114</v>
      </c>
      <c r="C12" s="69"/>
      <c r="D12" s="69"/>
      <c r="E12" s="69"/>
    </row>
    <row r="13" spans="1:5" ht="12.75">
      <c r="A13" s="69"/>
      <c r="B13" s="69"/>
      <c r="C13" s="69"/>
      <c r="D13" s="69"/>
      <c r="E13" s="69"/>
    </row>
    <row r="14" spans="1:5" ht="12.75">
      <c r="A14" s="69"/>
      <c r="B14" s="96" t="s">
        <v>116</v>
      </c>
      <c r="C14" s="69"/>
      <c r="D14" s="69"/>
      <c r="E14" s="69"/>
    </row>
    <row r="15" spans="1:5" ht="12.75">
      <c r="A15" s="70">
        <v>1311</v>
      </c>
      <c r="B15" s="69" t="s">
        <v>32</v>
      </c>
      <c r="C15" s="71">
        <v>25000</v>
      </c>
      <c r="D15" s="71">
        <v>21845.09</v>
      </c>
      <c r="E15" s="71">
        <f aca="true" t="shared" si="0" ref="E15:E22">D15-C15</f>
        <v>-3154.91</v>
      </c>
    </row>
    <row r="16" spans="1:5" ht="12.75">
      <c r="A16" s="70">
        <v>1312</v>
      </c>
      <c r="B16" s="69" t="s">
        <v>33</v>
      </c>
      <c r="C16" s="71">
        <v>10000</v>
      </c>
      <c r="D16" s="71">
        <v>21793.02</v>
      </c>
      <c r="E16" s="71">
        <f t="shared" si="0"/>
        <v>11793.02</v>
      </c>
    </row>
    <row r="17" spans="1:5" ht="12.75">
      <c r="A17" s="70">
        <v>1313</v>
      </c>
      <c r="B17" s="69" t="s">
        <v>274</v>
      </c>
      <c r="C17" s="71">
        <v>2000</v>
      </c>
      <c r="D17" s="71">
        <v>14777.76</v>
      </c>
      <c r="E17" s="71">
        <f t="shared" si="0"/>
        <v>12777.76</v>
      </c>
    </row>
    <row r="18" spans="1:5" ht="12.75">
      <c r="A18" s="70">
        <v>1314</v>
      </c>
      <c r="B18" s="69" t="s">
        <v>35</v>
      </c>
      <c r="C18" s="71">
        <v>12000</v>
      </c>
      <c r="D18" s="71">
        <v>1794.44</v>
      </c>
      <c r="E18" s="71">
        <f t="shared" si="0"/>
        <v>-10205.56</v>
      </c>
    </row>
    <row r="19" spans="1:5" ht="12.75">
      <c r="A19" s="70">
        <v>1315</v>
      </c>
      <c r="B19" s="69" t="s">
        <v>34</v>
      </c>
      <c r="C19" s="71">
        <v>15000</v>
      </c>
      <c r="D19" s="71">
        <v>0</v>
      </c>
      <c r="E19" s="71">
        <f t="shared" si="0"/>
        <v>-15000</v>
      </c>
    </row>
    <row r="20" spans="1:5" ht="12.75">
      <c r="A20" s="70">
        <v>1316</v>
      </c>
      <c r="B20" s="69" t="s">
        <v>36</v>
      </c>
      <c r="C20" s="71">
        <v>135000</v>
      </c>
      <c r="D20" s="71">
        <v>121997.7</v>
      </c>
      <c r="E20" s="71">
        <f t="shared" si="0"/>
        <v>-13002.300000000003</v>
      </c>
    </row>
    <row r="21" spans="1:5" ht="12.75">
      <c r="A21" s="70">
        <v>1317</v>
      </c>
      <c r="B21" s="69" t="s">
        <v>20</v>
      </c>
      <c r="C21" s="71">
        <v>21000</v>
      </c>
      <c r="D21" s="71">
        <v>0</v>
      </c>
      <c r="E21" s="71">
        <f t="shared" si="0"/>
        <v>-21000</v>
      </c>
    </row>
    <row r="22" spans="1:5" ht="12.75">
      <c r="A22" s="69"/>
      <c r="B22" s="96" t="s">
        <v>117</v>
      </c>
      <c r="C22" s="98">
        <f>+SUM(C15:C21)</f>
        <v>220000</v>
      </c>
      <c r="D22" s="98">
        <f>+SUM(D15:D21)</f>
        <v>182208.01</v>
      </c>
      <c r="E22" s="98">
        <f t="shared" si="0"/>
        <v>-37791.98999999999</v>
      </c>
    </row>
    <row r="23" spans="1:5" ht="12.75">
      <c r="A23" s="69"/>
      <c r="B23" s="69"/>
      <c r="C23" s="69"/>
      <c r="D23" s="69"/>
      <c r="E23" s="69"/>
    </row>
    <row r="24" spans="1:5" ht="12.75">
      <c r="A24" s="69"/>
      <c r="B24" s="96" t="s">
        <v>118</v>
      </c>
      <c r="C24" s="69"/>
      <c r="D24" s="69"/>
      <c r="E24" s="69"/>
    </row>
    <row r="25" spans="1:5" ht="12.75">
      <c r="A25" s="70">
        <v>1321</v>
      </c>
      <c r="B25" s="69" t="s">
        <v>37</v>
      </c>
      <c r="C25" s="71">
        <v>1500</v>
      </c>
      <c r="D25" s="71">
        <v>3239.9</v>
      </c>
      <c r="E25" s="71">
        <f aca="true" t="shared" si="1" ref="E25:E32">D25-C25</f>
        <v>1739.9</v>
      </c>
    </row>
    <row r="26" spans="1:5" ht="12.75">
      <c r="A26" s="70">
        <v>1322</v>
      </c>
      <c r="B26" s="69" t="s">
        <v>38</v>
      </c>
      <c r="C26" s="71">
        <v>12000</v>
      </c>
      <c r="D26" s="71">
        <v>9067.44</v>
      </c>
      <c r="E26" s="71">
        <f t="shared" si="1"/>
        <v>-2932.5599999999995</v>
      </c>
    </row>
    <row r="27" spans="1:5" ht="12.75">
      <c r="A27" s="70">
        <v>1323</v>
      </c>
      <c r="B27" s="69" t="s">
        <v>39</v>
      </c>
      <c r="C27" s="71">
        <v>2000</v>
      </c>
      <c r="D27" s="71">
        <v>1034.41</v>
      </c>
      <c r="E27" s="71">
        <f t="shared" si="1"/>
        <v>-965.5899999999999</v>
      </c>
    </row>
    <row r="28" spans="1:5" ht="12.75">
      <c r="A28" s="70">
        <v>1324</v>
      </c>
      <c r="B28" s="69" t="s">
        <v>40</v>
      </c>
      <c r="C28" s="71">
        <v>10000</v>
      </c>
      <c r="D28" s="71">
        <v>12434.16</v>
      </c>
      <c r="E28" s="71">
        <f t="shared" si="1"/>
        <v>2434.16</v>
      </c>
    </row>
    <row r="29" spans="1:5" ht="12.75">
      <c r="A29" s="70">
        <v>1325</v>
      </c>
      <c r="B29" s="69" t="s">
        <v>41</v>
      </c>
      <c r="C29" s="71">
        <v>2000</v>
      </c>
      <c r="D29" s="71">
        <v>5359.83</v>
      </c>
      <c r="E29" s="71">
        <f t="shared" si="1"/>
        <v>3359.83</v>
      </c>
    </row>
    <row r="30" spans="1:5" ht="12.75">
      <c r="A30" s="70">
        <v>1326</v>
      </c>
      <c r="B30" s="69" t="s">
        <v>42</v>
      </c>
      <c r="C30" s="71">
        <v>2000</v>
      </c>
      <c r="D30" s="71">
        <v>1310.69</v>
      </c>
      <c r="E30" s="71">
        <f t="shared" si="1"/>
        <v>-689.31</v>
      </c>
    </row>
    <row r="31" spans="1:5" ht="12.75">
      <c r="A31" s="70">
        <v>1327</v>
      </c>
      <c r="B31" s="69" t="s">
        <v>14</v>
      </c>
      <c r="C31" s="71">
        <v>2000</v>
      </c>
      <c r="D31" s="71">
        <v>700</v>
      </c>
      <c r="E31" s="71">
        <f t="shared" si="1"/>
        <v>-1300</v>
      </c>
    </row>
    <row r="32" spans="1:5" ht="12.75">
      <c r="A32" s="69"/>
      <c r="B32" s="96" t="s">
        <v>119</v>
      </c>
      <c r="C32" s="98">
        <f>+SUM(C25:C31)</f>
        <v>31500</v>
      </c>
      <c r="D32" s="98">
        <f>+SUM(D25:D31)</f>
        <v>33146.42999999999</v>
      </c>
      <c r="E32" s="98">
        <f t="shared" si="1"/>
        <v>1646.429999999993</v>
      </c>
    </row>
    <row r="33" spans="1:5" ht="12.75">
      <c r="A33" s="69"/>
      <c r="B33" s="69"/>
      <c r="C33" s="69"/>
      <c r="D33" s="69"/>
      <c r="E33" s="69"/>
    </row>
    <row r="34" spans="1:5" ht="12.75">
      <c r="A34" s="69"/>
      <c r="B34" s="96" t="s">
        <v>120</v>
      </c>
      <c r="C34" s="69"/>
      <c r="D34" s="69"/>
      <c r="E34" s="69"/>
    </row>
    <row r="35" spans="1:5" ht="12.75">
      <c r="A35" s="70">
        <v>1331</v>
      </c>
      <c r="B35" s="69" t="s">
        <v>43</v>
      </c>
      <c r="C35" s="71">
        <v>3000</v>
      </c>
      <c r="D35" s="71">
        <v>9117.5</v>
      </c>
      <c r="E35" s="71">
        <f aca="true" t="shared" si="2" ref="E35:E45">D35-C35</f>
        <v>6117.5</v>
      </c>
    </row>
    <row r="36" spans="1:5" ht="12.75">
      <c r="A36" s="70">
        <v>1332</v>
      </c>
      <c r="B36" s="69" t="s">
        <v>44</v>
      </c>
      <c r="C36" s="71">
        <v>1000</v>
      </c>
      <c r="D36" s="71">
        <v>1552</v>
      </c>
      <c r="E36" s="71">
        <f t="shared" si="2"/>
        <v>552</v>
      </c>
    </row>
    <row r="37" spans="1:5" ht="12.75">
      <c r="A37" s="70">
        <v>1333</v>
      </c>
      <c r="B37" s="69" t="s">
        <v>45</v>
      </c>
      <c r="C37" s="71">
        <v>8000</v>
      </c>
      <c r="D37" s="71">
        <v>12949.7</v>
      </c>
      <c r="E37" s="71">
        <f t="shared" si="2"/>
        <v>4949.700000000001</v>
      </c>
    </row>
    <row r="38" spans="1:5" ht="12.75">
      <c r="A38" s="70">
        <v>1334</v>
      </c>
      <c r="B38" s="69" t="s">
        <v>46</v>
      </c>
      <c r="C38" s="71">
        <v>2000</v>
      </c>
      <c r="D38" s="71">
        <v>2041</v>
      </c>
      <c r="E38" s="71">
        <f t="shared" si="2"/>
        <v>41</v>
      </c>
    </row>
    <row r="39" spans="1:5" ht="12.75">
      <c r="A39" s="70">
        <v>1335</v>
      </c>
      <c r="B39" s="69" t="s">
        <v>47</v>
      </c>
      <c r="C39" s="71">
        <v>4000</v>
      </c>
      <c r="D39" s="71">
        <v>3387.66</v>
      </c>
      <c r="E39" s="71">
        <f t="shared" si="2"/>
        <v>-612.3400000000001</v>
      </c>
    </row>
    <row r="40" spans="1:5" ht="12.75">
      <c r="A40" s="70">
        <v>1336</v>
      </c>
      <c r="B40" s="69" t="s">
        <v>48</v>
      </c>
      <c r="C40" s="71">
        <v>1000</v>
      </c>
      <c r="D40" s="71">
        <v>2204</v>
      </c>
      <c r="E40" s="71">
        <f t="shared" si="2"/>
        <v>1204</v>
      </c>
    </row>
    <row r="41" spans="1:5" ht="12.75">
      <c r="A41" s="70">
        <v>1337</v>
      </c>
      <c r="B41" s="69" t="s">
        <v>49</v>
      </c>
      <c r="C41" s="71">
        <v>1000</v>
      </c>
      <c r="D41" s="71">
        <v>0</v>
      </c>
      <c r="E41" s="71">
        <f t="shared" si="2"/>
        <v>-1000</v>
      </c>
    </row>
    <row r="42" spans="1:5" ht="12.75">
      <c r="A42" s="70">
        <v>1338</v>
      </c>
      <c r="B42" s="69" t="s">
        <v>50</v>
      </c>
      <c r="C42" s="71">
        <v>30000</v>
      </c>
      <c r="D42" s="71">
        <v>27883.25</v>
      </c>
      <c r="E42" s="71">
        <f t="shared" si="2"/>
        <v>-2116.75</v>
      </c>
    </row>
    <row r="43" spans="1:5" ht="12.75">
      <c r="A43" s="70">
        <v>1339</v>
      </c>
      <c r="B43" s="69" t="s">
        <v>51</v>
      </c>
      <c r="C43" s="71">
        <v>1000</v>
      </c>
      <c r="D43" s="71">
        <v>534</v>
      </c>
      <c r="E43" s="71">
        <f t="shared" si="2"/>
        <v>-466</v>
      </c>
    </row>
    <row r="44" spans="1:5" ht="12.75">
      <c r="A44" s="70">
        <v>1340</v>
      </c>
      <c r="B44" s="69" t="s">
        <v>52</v>
      </c>
      <c r="C44" s="71">
        <v>2000</v>
      </c>
      <c r="D44" s="71">
        <v>1075</v>
      </c>
      <c r="E44" s="71">
        <f t="shared" si="2"/>
        <v>-925</v>
      </c>
    </row>
    <row r="45" spans="1:5" ht="12.75">
      <c r="A45" s="69"/>
      <c r="B45" s="96" t="s">
        <v>207</v>
      </c>
      <c r="C45" s="98">
        <f>+SUM(C35:C44)</f>
        <v>53000</v>
      </c>
      <c r="D45" s="98">
        <f>+SUM(D35:D44)</f>
        <v>60744.11</v>
      </c>
      <c r="E45" s="98">
        <f t="shared" si="2"/>
        <v>7744.110000000001</v>
      </c>
    </row>
    <row r="46" spans="1:5" ht="12.75">
      <c r="A46" s="69"/>
      <c r="B46" s="69"/>
      <c r="C46" s="69"/>
      <c r="D46" s="69"/>
      <c r="E46" s="69"/>
    </row>
    <row r="47" spans="1:5" ht="12.75">
      <c r="A47" s="69"/>
      <c r="B47" s="96" t="s">
        <v>121</v>
      </c>
      <c r="C47" s="69"/>
      <c r="D47" s="69"/>
      <c r="E47" s="69"/>
    </row>
    <row r="48" spans="1:5" ht="12.75">
      <c r="A48" s="70">
        <v>1351</v>
      </c>
      <c r="B48" s="69" t="s">
        <v>53</v>
      </c>
      <c r="C48" s="71">
        <v>2500</v>
      </c>
      <c r="D48" s="71">
        <v>3647.81</v>
      </c>
      <c r="E48" s="71">
        <f aca="true" t="shared" si="3" ref="E48:E55">D48-C48</f>
        <v>1147.81</v>
      </c>
    </row>
    <row r="49" spans="1:5" ht="12.75">
      <c r="A49" s="70">
        <v>1352</v>
      </c>
      <c r="B49" s="69" t="s">
        <v>237</v>
      </c>
      <c r="C49" s="71">
        <v>2400</v>
      </c>
      <c r="D49" s="71">
        <v>4586.7</v>
      </c>
      <c r="E49" s="71">
        <f t="shared" si="3"/>
        <v>2186.7</v>
      </c>
    </row>
    <row r="50" spans="1:5" ht="12.75">
      <c r="A50" s="70">
        <v>1353</v>
      </c>
      <c r="B50" s="69" t="s">
        <v>54</v>
      </c>
      <c r="C50" s="71">
        <v>2500</v>
      </c>
      <c r="D50" s="71">
        <v>1537.22</v>
      </c>
      <c r="E50" s="71">
        <f t="shared" si="3"/>
        <v>-962.78</v>
      </c>
    </row>
    <row r="51" spans="1:5" ht="12.75">
      <c r="A51" s="70">
        <v>1355</v>
      </c>
      <c r="B51" s="69" t="s">
        <v>238</v>
      </c>
      <c r="C51" s="71">
        <v>0</v>
      </c>
      <c r="D51" s="71">
        <v>594</v>
      </c>
      <c r="E51" s="71">
        <f t="shared" si="3"/>
        <v>594</v>
      </c>
    </row>
    <row r="52" spans="1:5" ht="12.75">
      <c r="A52" s="69"/>
      <c r="B52" s="96" t="s">
        <v>122</v>
      </c>
      <c r="C52" s="98">
        <f>+SUM(C48:C51)</f>
        <v>7400</v>
      </c>
      <c r="D52" s="98">
        <f>+SUM(D48:D51)</f>
        <v>10365.73</v>
      </c>
      <c r="E52" s="98">
        <f t="shared" si="3"/>
        <v>2965.7299999999996</v>
      </c>
    </row>
    <row r="53" spans="1:5" ht="12.75">
      <c r="A53" s="70">
        <v>1360</v>
      </c>
      <c r="B53" s="69" t="s">
        <v>12</v>
      </c>
      <c r="C53" s="71">
        <v>40000</v>
      </c>
      <c r="D53" s="71">
        <v>103929.48</v>
      </c>
      <c r="E53" s="71">
        <f t="shared" si="3"/>
        <v>63929.479999999996</v>
      </c>
    </row>
    <row r="54" spans="1:5" ht="12.75">
      <c r="A54" s="70">
        <v>1370</v>
      </c>
      <c r="B54" s="69" t="s">
        <v>55</v>
      </c>
      <c r="C54" s="71">
        <v>20000</v>
      </c>
      <c r="D54" s="71">
        <v>4143.5</v>
      </c>
      <c r="E54" s="71">
        <f t="shared" si="3"/>
        <v>-15856.5</v>
      </c>
    </row>
    <row r="55" spans="1:5" ht="12.75">
      <c r="A55" s="70">
        <v>1375</v>
      </c>
      <c r="B55" s="69" t="s">
        <v>316</v>
      </c>
      <c r="C55" s="71">
        <v>15000</v>
      </c>
      <c r="D55" s="71">
        <v>0</v>
      </c>
      <c r="E55" s="71">
        <f t="shared" si="3"/>
        <v>-15000</v>
      </c>
    </row>
    <row r="56" spans="1:5" ht="12.75">
      <c r="A56" s="69"/>
      <c r="B56" s="69"/>
      <c r="C56" s="69"/>
      <c r="D56" s="69"/>
      <c r="E56" s="69"/>
    </row>
    <row r="57" spans="1:5" ht="12.75">
      <c r="A57" s="69"/>
      <c r="B57" s="96" t="s">
        <v>256</v>
      </c>
      <c r="C57" s="69"/>
      <c r="D57" s="69"/>
      <c r="E57" s="69"/>
    </row>
    <row r="58" spans="1:5" ht="12.75">
      <c r="A58" s="70">
        <v>1382</v>
      </c>
      <c r="B58" s="69" t="s">
        <v>257</v>
      </c>
      <c r="C58" s="71">
        <v>0</v>
      </c>
      <c r="D58" s="71">
        <v>0</v>
      </c>
      <c r="E58" s="71">
        <f>D58-C58</f>
        <v>0</v>
      </c>
    </row>
    <row r="59" spans="1:5" ht="12.75">
      <c r="A59" s="70">
        <v>1384</v>
      </c>
      <c r="B59" s="69" t="s">
        <v>258</v>
      </c>
      <c r="C59" s="71">
        <v>0</v>
      </c>
      <c r="D59" s="71">
        <v>0</v>
      </c>
      <c r="E59" s="71">
        <f>D59-C59</f>
        <v>0</v>
      </c>
    </row>
    <row r="60" spans="1:5" ht="12.75">
      <c r="A60" s="70">
        <v>1392</v>
      </c>
      <c r="B60" s="69" t="s">
        <v>259</v>
      </c>
      <c r="C60" s="71">
        <v>0</v>
      </c>
      <c r="D60" s="71">
        <v>0</v>
      </c>
      <c r="E60" s="71">
        <f>D60-C60</f>
        <v>0</v>
      </c>
    </row>
    <row r="61" spans="1:5" ht="12.75">
      <c r="A61" s="70">
        <v>1397</v>
      </c>
      <c r="B61" s="69" t="s">
        <v>260</v>
      </c>
      <c r="C61" s="71">
        <v>0</v>
      </c>
      <c r="D61" s="71">
        <v>0</v>
      </c>
      <c r="E61" s="71">
        <f>D61-C61</f>
        <v>0</v>
      </c>
    </row>
    <row r="62" spans="1:5" ht="12.75">
      <c r="A62" s="69"/>
      <c r="B62" s="96" t="s">
        <v>261</v>
      </c>
      <c r="C62" s="98">
        <f>+SUM(C58:C61)</f>
        <v>0</v>
      </c>
      <c r="D62" s="98">
        <f>+SUM(D58:D61)</f>
        <v>0</v>
      </c>
      <c r="E62" s="98">
        <f>D62-C62</f>
        <v>0</v>
      </c>
    </row>
    <row r="63" spans="1:5" ht="12.75">
      <c r="A63" s="69"/>
      <c r="B63" s="69"/>
      <c r="C63" s="69"/>
      <c r="D63" s="69"/>
      <c r="E63" s="69"/>
    </row>
    <row r="64" spans="1:5" ht="12.75">
      <c r="A64" s="69"/>
      <c r="B64" s="96" t="s">
        <v>142</v>
      </c>
      <c r="C64" s="69"/>
      <c r="D64" s="69"/>
      <c r="E64" s="69"/>
    </row>
    <row r="65" spans="1:5" ht="12.75">
      <c r="A65" s="70">
        <v>1410</v>
      </c>
      <c r="B65" s="69" t="s">
        <v>96</v>
      </c>
      <c r="C65" s="71">
        <v>-135360</v>
      </c>
      <c r="D65" s="71">
        <v>-135360</v>
      </c>
      <c r="E65" s="71">
        <f aca="true" t="shared" si="4" ref="E65:E75">D65-C65</f>
        <v>0</v>
      </c>
    </row>
    <row r="66" spans="1:5" ht="12.75">
      <c r="A66" s="70">
        <v>1420</v>
      </c>
      <c r="B66" s="69" t="s">
        <v>248</v>
      </c>
      <c r="C66" s="71">
        <v>-7200</v>
      </c>
      <c r="D66" s="71">
        <v>0</v>
      </c>
      <c r="E66" s="71">
        <f t="shared" si="4"/>
        <v>7200</v>
      </c>
    </row>
    <row r="67" spans="1:5" ht="12.75">
      <c r="A67" s="70">
        <v>1425</v>
      </c>
      <c r="B67" s="69" t="s">
        <v>209</v>
      </c>
      <c r="C67" s="71">
        <v>-9600</v>
      </c>
      <c r="D67" s="71">
        <v>-19400</v>
      </c>
      <c r="E67" s="71">
        <f t="shared" si="4"/>
        <v>-9800</v>
      </c>
    </row>
    <row r="68" spans="1:5" ht="12.75">
      <c r="A68" s="70">
        <v>1427</v>
      </c>
      <c r="B68" s="69" t="s">
        <v>98</v>
      </c>
      <c r="C68" s="71">
        <v>5600</v>
      </c>
      <c r="D68" s="71">
        <v>11407.57</v>
      </c>
      <c r="E68" s="71">
        <f t="shared" si="4"/>
        <v>5807.57</v>
      </c>
    </row>
    <row r="69" spans="1:5" ht="12.75">
      <c r="A69" s="70">
        <v>1430</v>
      </c>
      <c r="B69" s="69" t="s">
        <v>99</v>
      </c>
      <c r="C69" s="71">
        <v>47288.7</v>
      </c>
      <c r="D69" s="71">
        <v>47286</v>
      </c>
      <c r="E69" s="71">
        <f t="shared" si="4"/>
        <v>-2.6999999999970896</v>
      </c>
    </row>
    <row r="70" spans="1:5" ht="12.75">
      <c r="A70" s="70">
        <v>1440</v>
      </c>
      <c r="B70" s="69" t="s">
        <v>18</v>
      </c>
      <c r="C70" s="71">
        <v>2725</v>
      </c>
      <c r="D70" s="71">
        <v>2725</v>
      </c>
      <c r="E70" s="71">
        <f t="shared" si="4"/>
        <v>0</v>
      </c>
    </row>
    <row r="71" spans="1:5" ht="12.75">
      <c r="A71" s="70">
        <v>1450</v>
      </c>
      <c r="B71" s="69" t="s">
        <v>57</v>
      </c>
      <c r="C71" s="71">
        <v>34418.1</v>
      </c>
      <c r="D71" s="71">
        <v>36380.1</v>
      </c>
      <c r="E71" s="71">
        <f t="shared" si="4"/>
        <v>1962</v>
      </c>
    </row>
    <row r="72" spans="1:5" ht="12.75">
      <c r="A72" s="70">
        <v>1460</v>
      </c>
      <c r="B72" s="69" t="s">
        <v>249</v>
      </c>
      <c r="C72" s="71">
        <v>4000</v>
      </c>
      <c r="D72" s="71">
        <v>8800.75</v>
      </c>
      <c r="E72" s="71">
        <f t="shared" si="4"/>
        <v>4800.75</v>
      </c>
    </row>
    <row r="73" spans="1:5" ht="12.75">
      <c r="A73" s="70">
        <v>1470</v>
      </c>
      <c r="B73" s="69" t="s">
        <v>100</v>
      </c>
      <c r="C73" s="71">
        <v>40000</v>
      </c>
      <c r="D73" s="71">
        <v>0</v>
      </c>
      <c r="E73" s="71">
        <f t="shared" si="4"/>
        <v>-40000</v>
      </c>
    </row>
    <row r="74" spans="1:5" ht="12.75">
      <c r="A74" s="70">
        <v>1480</v>
      </c>
      <c r="B74" s="69" t="s">
        <v>250</v>
      </c>
      <c r="C74" s="71">
        <v>15000</v>
      </c>
      <c r="D74" s="71">
        <v>18089.35</v>
      </c>
      <c r="E74" s="71">
        <f t="shared" si="4"/>
        <v>3089.3499999999985</v>
      </c>
    </row>
    <row r="75" spans="1:5" ht="12.75">
      <c r="A75" s="69"/>
      <c r="B75" s="96" t="s">
        <v>143</v>
      </c>
      <c r="C75" s="98">
        <f>+SUM(C65:C74)</f>
        <v>-3128.2000000000044</v>
      </c>
      <c r="D75" s="98">
        <f>+SUM(D65:D74)</f>
        <v>-30071.229999999996</v>
      </c>
      <c r="E75" s="98">
        <f t="shared" si="4"/>
        <v>-26943.02999999999</v>
      </c>
    </row>
    <row r="76" spans="1:5" ht="12.75">
      <c r="A76" s="69"/>
      <c r="B76" s="69"/>
      <c r="C76" s="69"/>
      <c r="D76" s="69"/>
      <c r="E76" s="69"/>
    </row>
    <row r="77" spans="1:5" ht="12.75">
      <c r="A77" s="69"/>
      <c r="B77" s="96"/>
      <c r="C77" s="69"/>
      <c r="D77" s="69"/>
      <c r="E77" s="69"/>
    </row>
    <row r="78" spans="1:5" ht="12.75">
      <c r="A78" s="70">
        <v>1997</v>
      </c>
      <c r="B78" s="69" t="s">
        <v>56</v>
      </c>
      <c r="C78" s="71">
        <v>0</v>
      </c>
      <c r="D78" s="71">
        <v>0</v>
      </c>
      <c r="E78" s="71">
        <f>D78-C78</f>
        <v>0</v>
      </c>
    </row>
    <row r="79" spans="1:5" ht="12.75">
      <c r="A79" s="69"/>
      <c r="B79" s="96" t="s">
        <v>123</v>
      </c>
      <c r="C79" s="98">
        <f>+SUM(C15:C21)+SUM(C25:C31)+SUM(C35:C44)+SUM(C48:C51)+SUM(C53:C55)+SUM(C58:C61)+SUM(C65:C74)+SUM(C78:C78)</f>
        <v>383771.8</v>
      </c>
      <c r="D79" s="98">
        <f>+SUM(D15:D21)+SUM(D25:D31)+SUM(D35:D44)+SUM(D48:D51)+SUM(D53:D55)+SUM(D58:D61)+SUM(D65:D74)+SUM(D78:D78)</f>
        <v>364466.02999999997</v>
      </c>
      <c r="E79" s="98">
        <f>D79-C79</f>
        <v>-19305.77000000002</v>
      </c>
    </row>
    <row r="80" spans="1:5" ht="12.75">
      <c r="A80" s="69"/>
      <c r="B80" s="96" t="s">
        <v>124</v>
      </c>
      <c r="C80" s="98">
        <f>+SUM(C6:C9)+SUM(C15:C21)+SUM(C25:C31)+SUM(C35:C44)+SUM(C48:C51)+SUM(C53:C55)+SUM(C58:C61)+SUM(C65:C74)+SUM(C78:C78)</f>
        <v>-417501.89999999997</v>
      </c>
      <c r="D80" s="98">
        <f>+SUM(D6:D9)+SUM(D15:D21)+SUM(D25:D31)+SUM(D35:D44)+SUM(D48:D51)+SUM(D53:D55)+SUM(D58:D61)+SUM(D65:D74)+SUM(D78:D78)</f>
        <v>-433501.36</v>
      </c>
      <c r="E80" s="98">
        <f>D80-C80</f>
        <v>-15999.460000000021</v>
      </c>
    </row>
    <row r="81" spans="1:5" ht="12.75">
      <c r="A81" s="69"/>
      <c r="B81" s="69"/>
      <c r="C81" s="69"/>
      <c r="D81" s="69"/>
      <c r="E81" s="69"/>
    </row>
    <row r="82" spans="1:5" ht="12.75">
      <c r="A82" s="69"/>
      <c r="B82" s="96" t="s">
        <v>125</v>
      </c>
      <c r="C82" s="69"/>
      <c r="D82" s="69"/>
      <c r="E82" s="69"/>
    </row>
    <row r="83" spans="1:5" ht="12.75">
      <c r="A83" s="70">
        <v>2210</v>
      </c>
      <c r="B83" s="69" t="s">
        <v>57</v>
      </c>
      <c r="C83" s="71">
        <v>32792</v>
      </c>
      <c r="D83" s="71">
        <v>36830.7</v>
      </c>
      <c r="E83" s="71">
        <f>D83-C83</f>
        <v>4038.699999999997</v>
      </c>
    </row>
    <row r="84" spans="1:5" ht="12.75">
      <c r="A84" s="70">
        <v>2220</v>
      </c>
      <c r="B84" s="69" t="s">
        <v>9</v>
      </c>
      <c r="C84" s="71">
        <v>33000</v>
      </c>
      <c r="D84" s="71">
        <v>33472.47</v>
      </c>
      <c r="E84" s="71">
        <f>D84-C84</f>
        <v>472.47000000000116</v>
      </c>
    </row>
    <row r="85" spans="1:5" ht="12.75">
      <c r="A85" s="69"/>
      <c r="B85" s="69"/>
      <c r="C85" s="69"/>
      <c r="D85" s="69"/>
      <c r="E85" s="69"/>
    </row>
    <row r="86" spans="1:5" ht="12.75">
      <c r="A86" s="69"/>
      <c r="B86" s="96" t="s">
        <v>8</v>
      </c>
      <c r="C86" s="69"/>
      <c r="D86" s="69"/>
      <c r="E86" s="69"/>
    </row>
    <row r="87" spans="1:5" ht="12.75">
      <c r="A87" s="70">
        <v>2231</v>
      </c>
      <c r="B87" s="69" t="s">
        <v>239</v>
      </c>
      <c r="C87" s="71">
        <v>38326</v>
      </c>
      <c r="D87" s="71">
        <v>38326.64</v>
      </c>
      <c r="E87" s="71">
        <f aca="true" t="shared" si="5" ref="E87:E92">D87-C87</f>
        <v>0.6399999999994179</v>
      </c>
    </row>
    <row r="88" spans="1:5" ht="12.75">
      <c r="A88" s="70">
        <v>2232</v>
      </c>
      <c r="B88" s="69" t="s">
        <v>262</v>
      </c>
      <c r="C88" s="71">
        <v>22000</v>
      </c>
      <c r="D88" s="71">
        <v>22000</v>
      </c>
      <c r="E88" s="71">
        <f t="shared" si="5"/>
        <v>0</v>
      </c>
    </row>
    <row r="89" spans="1:5" ht="12.75">
      <c r="A89" s="70">
        <v>2233</v>
      </c>
      <c r="B89" s="69" t="s">
        <v>263</v>
      </c>
      <c r="C89" s="71">
        <v>181635</v>
      </c>
      <c r="D89" s="71">
        <v>181634.6</v>
      </c>
      <c r="E89" s="71">
        <f t="shared" si="5"/>
        <v>-0.39999999999417923</v>
      </c>
    </row>
    <row r="90" spans="1:5" ht="12.75">
      <c r="A90" s="70">
        <v>2234</v>
      </c>
      <c r="B90" s="69" t="s">
        <v>264</v>
      </c>
      <c r="C90" s="71">
        <v>16500</v>
      </c>
      <c r="D90" s="71">
        <v>16575</v>
      </c>
      <c r="E90" s="71">
        <f t="shared" si="5"/>
        <v>75</v>
      </c>
    </row>
    <row r="91" spans="1:5" ht="12.75">
      <c r="A91" s="70">
        <v>2235</v>
      </c>
      <c r="B91" s="69" t="s">
        <v>58</v>
      </c>
      <c r="C91" s="71">
        <v>7000</v>
      </c>
      <c r="D91" s="71">
        <v>4668</v>
      </c>
      <c r="E91" s="71">
        <f t="shared" si="5"/>
        <v>-2332</v>
      </c>
    </row>
    <row r="92" spans="1:5" ht="12.75">
      <c r="A92" s="69"/>
      <c r="B92" s="96" t="s">
        <v>126</v>
      </c>
      <c r="C92" s="98">
        <f>+SUM(C87:C91)</f>
        <v>265461</v>
      </c>
      <c r="D92" s="98">
        <f>+SUM(D87:D91)</f>
        <v>263204.24</v>
      </c>
      <c r="E92" s="98">
        <f t="shared" si="5"/>
        <v>-2256.7600000000093</v>
      </c>
    </row>
    <row r="93" spans="1:5" ht="12.75">
      <c r="A93" s="69"/>
      <c r="B93" s="69"/>
      <c r="C93" s="69"/>
      <c r="D93" s="69"/>
      <c r="E93" s="69"/>
    </row>
    <row r="94" spans="1:5" ht="12.75">
      <c r="A94" s="69"/>
      <c r="B94" s="96" t="s">
        <v>10</v>
      </c>
      <c r="C94" s="69"/>
      <c r="D94" s="69"/>
      <c r="E94" s="69"/>
    </row>
    <row r="95" spans="1:5" ht="12.75">
      <c r="A95" s="70">
        <v>2251</v>
      </c>
      <c r="B95" s="69" t="s">
        <v>265</v>
      </c>
      <c r="C95" s="71">
        <v>0</v>
      </c>
      <c r="D95" s="71">
        <v>0</v>
      </c>
      <c r="E95" s="71">
        <f>D95-C95</f>
        <v>0</v>
      </c>
    </row>
    <row r="96" spans="1:5" ht="12.75">
      <c r="A96" s="70">
        <v>2255</v>
      </c>
      <c r="B96" s="69" t="s">
        <v>214</v>
      </c>
      <c r="C96" s="71">
        <v>0</v>
      </c>
      <c r="D96" s="71">
        <v>0</v>
      </c>
      <c r="E96" s="71">
        <f>D96-C96</f>
        <v>0</v>
      </c>
    </row>
    <row r="97" spans="1:5" ht="12.75">
      <c r="A97" s="70">
        <v>2256</v>
      </c>
      <c r="B97" s="69" t="s">
        <v>215</v>
      </c>
      <c r="C97" s="71">
        <v>0</v>
      </c>
      <c r="D97" s="71">
        <v>0</v>
      </c>
      <c r="E97" s="71">
        <f>D97-C97</f>
        <v>0</v>
      </c>
    </row>
    <row r="98" spans="1:5" ht="12.75">
      <c r="A98" s="70">
        <v>2258</v>
      </c>
      <c r="B98" s="69" t="s">
        <v>59</v>
      </c>
      <c r="C98" s="71">
        <v>0</v>
      </c>
      <c r="D98" s="71">
        <v>117.9</v>
      </c>
      <c r="E98" s="71">
        <f>D98-C98</f>
        <v>117.9</v>
      </c>
    </row>
    <row r="99" spans="1:5" ht="12.75">
      <c r="A99" s="69"/>
      <c r="B99" s="96" t="s">
        <v>127</v>
      </c>
      <c r="C99" s="98">
        <f>+SUM(C95:C98)</f>
        <v>0</v>
      </c>
      <c r="D99" s="98">
        <f>+SUM(D95:D98)</f>
        <v>117.9</v>
      </c>
      <c r="E99" s="98">
        <f>D99-C99</f>
        <v>117.9</v>
      </c>
    </row>
    <row r="100" spans="1:5" ht="12.75">
      <c r="A100" s="69"/>
      <c r="B100" s="69"/>
      <c r="C100" s="69"/>
      <c r="D100" s="69"/>
      <c r="E100" s="69"/>
    </row>
    <row r="101" spans="1:5" ht="12.75">
      <c r="A101" s="69"/>
      <c r="B101" s="96" t="s">
        <v>243</v>
      </c>
      <c r="C101" s="69"/>
      <c r="D101" s="69"/>
      <c r="E101" s="69"/>
    </row>
    <row r="102" spans="1:5" ht="12.75">
      <c r="A102" s="70">
        <v>2261</v>
      </c>
      <c r="B102" s="69" t="s">
        <v>18</v>
      </c>
      <c r="C102" s="71">
        <v>53200</v>
      </c>
      <c r="D102" s="71">
        <v>56185.03</v>
      </c>
      <c r="E102" s="71">
        <f aca="true" t="shared" si="6" ref="E102:E107">D102-C102</f>
        <v>2985.029999999999</v>
      </c>
    </row>
    <row r="103" spans="1:5" ht="12.75">
      <c r="A103" s="70">
        <v>2262</v>
      </c>
      <c r="B103" s="69" t="s">
        <v>60</v>
      </c>
      <c r="C103" s="71">
        <v>54000</v>
      </c>
      <c r="D103" s="71">
        <v>74946.87</v>
      </c>
      <c r="E103" s="71">
        <f t="shared" si="6"/>
        <v>20946.869999999995</v>
      </c>
    </row>
    <row r="104" spans="1:5" ht="12.75">
      <c r="A104" s="70">
        <v>2263</v>
      </c>
      <c r="B104" s="69" t="s">
        <v>61</v>
      </c>
      <c r="C104" s="71">
        <v>37500</v>
      </c>
      <c r="D104" s="71">
        <v>54906</v>
      </c>
      <c r="E104" s="71">
        <f t="shared" si="6"/>
        <v>17406</v>
      </c>
    </row>
    <row r="105" spans="1:5" ht="12.75">
      <c r="A105" s="70">
        <v>2264</v>
      </c>
      <c r="B105" s="69" t="s">
        <v>62</v>
      </c>
      <c r="C105" s="71">
        <v>10154</v>
      </c>
      <c r="D105" s="71">
        <v>9380</v>
      </c>
      <c r="E105" s="71">
        <f t="shared" si="6"/>
        <v>-774</v>
      </c>
    </row>
    <row r="106" spans="1:5" ht="12.75">
      <c r="A106" s="70">
        <v>2265</v>
      </c>
      <c r="B106" s="69" t="s">
        <v>208</v>
      </c>
      <c r="C106" s="71">
        <v>3500</v>
      </c>
      <c r="D106" s="71">
        <v>4650</v>
      </c>
      <c r="E106" s="71">
        <f t="shared" si="6"/>
        <v>1150</v>
      </c>
    </row>
    <row r="107" spans="1:5" ht="12.75">
      <c r="A107" s="69"/>
      <c r="B107" s="96" t="s">
        <v>244</v>
      </c>
      <c r="C107" s="98">
        <f>+SUM(C102:C106)</f>
        <v>158354</v>
      </c>
      <c r="D107" s="98">
        <f>+SUM(D102:D106)</f>
        <v>200067.9</v>
      </c>
      <c r="E107" s="98">
        <f t="shared" si="6"/>
        <v>41713.899999999994</v>
      </c>
    </row>
    <row r="108" spans="1:5" ht="12.75">
      <c r="A108" s="69"/>
      <c r="B108" s="69"/>
      <c r="C108" s="69"/>
      <c r="D108" s="69"/>
      <c r="E108" s="69"/>
    </row>
    <row r="109" spans="1:5" ht="12.75">
      <c r="A109" s="69"/>
      <c r="B109" s="96" t="s">
        <v>13</v>
      </c>
      <c r="C109" s="69"/>
      <c r="D109" s="69"/>
      <c r="E109" s="69"/>
    </row>
    <row r="110" spans="1:5" ht="12.75">
      <c r="A110" s="70">
        <v>2271</v>
      </c>
      <c r="B110" s="69" t="s">
        <v>63</v>
      </c>
      <c r="C110" s="71">
        <v>2500</v>
      </c>
      <c r="D110" s="71">
        <v>4545.4</v>
      </c>
      <c r="E110" s="71">
        <f>D110-C110</f>
        <v>2045.3999999999996</v>
      </c>
    </row>
    <row r="111" spans="1:5" ht="12.75">
      <c r="A111" s="70">
        <v>2272</v>
      </c>
      <c r="B111" s="69" t="s">
        <v>64</v>
      </c>
      <c r="C111" s="71">
        <v>1500</v>
      </c>
      <c r="D111" s="71">
        <v>446.95</v>
      </c>
      <c r="E111" s="71">
        <f>D111-C111</f>
        <v>-1053.05</v>
      </c>
    </row>
    <row r="112" spans="1:5" ht="12.75">
      <c r="A112" s="70">
        <v>2273</v>
      </c>
      <c r="B112" s="69" t="s">
        <v>65</v>
      </c>
      <c r="C112" s="71">
        <v>3000</v>
      </c>
      <c r="D112" s="71">
        <v>1540.16</v>
      </c>
      <c r="E112" s="71">
        <f>D112-C112</f>
        <v>-1459.84</v>
      </c>
    </row>
    <row r="113" spans="1:5" ht="12.75">
      <c r="A113" s="69"/>
      <c r="B113" s="96" t="s">
        <v>128</v>
      </c>
      <c r="C113" s="98">
        <f>+SUM(C110:C112)</f>
        <v>7000</v>
      </c>
      <c r="D113" s="98">
        <f>+SUM(D110:D112)</f>
        <v>6532.509999999999</v>
      </c>
      <c r="E113" s="98">
        <f>D113-C113</f>
        <v>-467.4900000000007</v>
      </c>
    </row>
    <row r="114" spans="1:5" ht="12.75">
      <c r="A114" s="69"/>
      <c r="B114" s="69"/>
      <c r="C114" s="69"/>
      <c r="D114" s="69"/>
      <c r="E114" s="69"/>
    </row>
    <row r="115" spans="1:5" ht="12.75">
      <c r="A115" s="69"/>
      <c r="B115" s="96" t="s">
        <v>11</v>
      </c>
      <c r="C115" s="69"/>
      <c r="D115" s="69"/>
      <c r="E115" s="69"/>
    </row>
    <row r="116" spans="1:5" ht="12.75">
      <c r="A116" s="70">
        <v>2282</v>
      </c>
      <c r="B116" s="69" t="s">
        <v>66</v>
      </c>
      <c r="C116" s="71">
        <v>23000</v>
      </c>
      <c r="D116" s="71">
        <v>37926.25</v>
      </c>
      <c r="E116" s="71">
        <f>D116-C116</f>
        <v>14926.25</v>
      </c>
    </row>
    <row r="117" spans="1:5" ht="12.75">
      <c r="A117" s="70">
        <v>2284</v>
      </c>
      <c r="B117" s="69" t="s">
        <v>67</v>
      </c>
      <c r="C117" s="71">
        <v>8000</v>
      </c>
      <c r="D117" s="71">
        <v>8125</v>
      </c>
      <c r="E117" s="71">
        <f>D117-C117</f>
        <v>125</v>
      </c>
    </row>
    <row r="118" spans="1:5" ht="12.75">
      <c r="A118" s="69"/>
      <c r="B118" s="96" t="s">
        <v>129</v>
      </c>
      <c r="C118" s="98">
        <f>+SUM(C116:C117)</f>
        <v>31000</v>
      </c>
      <c r="D118" s="98">
        <f>+SUM(D116:D117)</f>
        <v>46051.25</v>
      </c>
      <c r="E118" s="98">
        <f>D118-C118</f>
        <v>15051.25</v>
      </c>
    </row>
    <row r="119" spans="1:5" ht="12.75">
      <c r="A119" s="69"/>
      <c r="B119" s="69"/>
      <c r="C119" s="69"/>
      <c r="D119" s="69"/>
      <c r="E119" s="69"/>
    </row>
    <row r="120" spans="1:5" ht="12.75">
      <c r="A120" s="69"/>
      <c r="B120" s="96" t="s">
        <v>14</v>
      </c>
      <c r="C120" s="69"/>
      <c r="D120" s="69"/>
      <c r="E120" s="69"/>
    </row>
    <row r="121" spans="1:5" ht="12.75">
      <c r="A121" s="70">
        <v>2292</v>
      </c>
      <c r="B121" s="69" t="s">
        <v>68</v>
      </c>
      <c r="C121" s="71">
        <v>0</v>
      </c>
      <c r="D121" s="71">
        <v>0</v>
      </c>
      <c r="E121" s="71">
        <f aca="true" t="shared" si="7" ref="E121:E128">D121-C121</f>
        <v>0</v>
      </c>
    </row>
    <row r="122" spans="1:5" ht="12.75">
      <c r="A122" s="70">
        <v>2293</v>
      </c>
      <c r="B122" s="69" t="s">
        <v>245</v>
      </c>
      <c r="C122" s="71">
        <v>0</v>
      </c>
      <c r="D122" s="71">
        <v>-0.01</v>
      </c>
      <c r="E122" s="71">
        <f t="shared" si="7"/>
        <v>-0.01</v>
      </c>
    </row>
    <row r="123" spans="1:5" ht="12.75">
      <c r="A123" s="70">
        <v>2294</v>
      </c>
      <c r="B123" s="69" t="s">
        <v>69</v>
      </c>
      <c r="C123" s="71">
        <v>122</v>
      </c>
      <c r="D123" s="71">
        <v>84</v>
      </c>
      <c r="E123" s="71">
        <f t="shared" si="7"/>
        <v>-38</v>
      </c>
    </row>
    <row r="124" spans="1:5" ht="12.75">
      <c r="A124" s="70">
        <v>2295</v>
      </c>
      <c r="B124" s="69" t="s">
        <v>70</v>
      </c>
      <c r="C124" s="71">
        <v>4000</v>
      </c>
      <c r="D124" s="71">
        <v>-389</v>
      </c>
      <c r="E124" s="71">
        <f t="shared" si="7"/>
        <v>-4389</v>
      </c>
    </row>
    <row r="125" spans="1:5" ht="12.75">
      <c r="A125" s="69"/>
      <c r="B125" s="96" t="s">
        <v>130</v>
      </c>
      <c r="C125" s="98">
        <f>+SUM(C121:C124)</f>
        <v>4122</v>
      </c>
      <c r="D125" s="98">
        <f>+SUM(D121:D124)</f>
        <v>-305.01</v>
      </c>
      <c r="E125" s="98">
        <f t="shared" si="7"/>
        <v>-4427.01</v>
      </c>
    </row>
    <row r="126" spans="1:5" ht="12.75">
      <c r="A126" s="69"/>
      <c r="B126" s="96" t="s">
        <v>131</v>
      </c>
      <c r="C126" s="98">
        <f>+SUM(C83:C84)+SUM(C87:C91)+SUM(C95:C98)+SUM(C102:C106)+SUM(C110:C112)+SUM(C116:C117)+SUM(C121:C124)</f>
        <v>531729</v>
      </c>
      <c r="D126" s="98">
        <f>+SUM(D83:D84)+SUM(D87:D91)+SUM(D95:D98)+SUM(D102:D106)+SUM(D110:D112)+SUM(D116:D117)+SUM(D121:D124)</f>
        <v>585971.96</v>
      </c>
      <c r="E126" s="98">
        <f t="shared" si="7"/>
        <v>54242.95999999996</v>
      </c>
    </row>
    <row r="127" spans="1:5" ht="12.75">
      <c r="A127" s="69"/>
      <c r="B127" s="96" t="s">
        <v>132</v>
      </c>
      <c r="C127" s="98">
        <f>+SUM(C15:C21)+SUM(C25:C31)+SUM(C35:C44)+SUM(C48:C51)+SUM(C53:C55)+SUM(C58:C61)+SUM(C65:C74)+SUM(C78:C78)+SUM(C83:C84)+SUM(C87:C91)+SUM(C95:C98)+SUM(C102:C106)+SUM(C110:C112)+SUM(C116:C117)+SUM(C121:C124)</f>
        <v>915500.8</v>
      </c>
      <c r="D127" s="98">
        <f>+SUM(D15:D21)+SUM(D25:D31)+SUM(D35:D44)+SUM(D48:D51)+SUM(D53:D55)+SUM(D58:D61)+SUM(D65:D74)+SUM(D78:D78)+SUM(D83:D84)+SUM(D87:D91)+SUM(D95:D98)+SUM(D102:D106)+SUM(D110:D112)+SUM(D116:D117)+SUM(D121:D124)</f>
        <v>950437.99</v>
      </c>
      <c r="E127" s="98">
        <f t="shared" si="7"/>
        <v>34937.189999999944</v>
      </c>
    </row>
    <row r="128" spans="1:5" ht="12.75">
      <c r="A128" s="69"/>
      <c r="B128" s="96" t="s">
        <v>246</v>
      </c>
      <c r="C128" s="98">
        <f>+SUM(C6:C9)+SUM(C15:C21)+SUM(C25:C31)+SUM(C35:C44)+SUM(C48:C51)+SUM(C53:C55)+SUM(C58:C61)+SUM(C65:C74)+SUM(C78:C78)+SUM(C83:C84)+SUM(C87:C91)+SUM(C95:C98)+SUM(C102:C106)+SUM(C110:C112)+SUM(C116:C117)+SUM(C121:C124)</f>
        <v>114227.10000000003</v>
      </c>
      <c r="D128" s="98">
        <f>+SUM(D6:D9)+SUM(D15:D21)+SUM(D25:D31)+SUM(D35:D44)+SUM(D48:D51)+SUM(D53:D55)+SUM(D58:D61)+SUM(D65:D74)+SUM(D78:D78)+SUM(D83:D84)+SUM(D87:D91)+SUM(D95:D98)+SUM(D102:D106)+SUM(D110:D112)+SUM(D116:D117)+SUM(D121:D124)</f>
        <v>152470.59999999998</v>
      </c>
      <c r="E128" s="98">
        <f t="shared" si="7"/>
        <v>38243.49999999994</v>
      </c>
    </row>
    <row r="129" spans="1:5" ht="12.75">
      <c r="A129" s="69"/>
      <c r="B129" s="69"/>
      <c r="C129" s="69"/>
      <c r="D129" s="69"/>
      <c r="E129" s="69"/>
    </row>
    <row r="130" spans="1:5" ht="12.75">
      <c r="A130" s="69"/>
      <c r="B130" s="96" t="s">
        <v>133</v>
      </c>
      <c r="C130" s="69"/>
      <c r="D130" s="69"/>
      <c r="E130" s="69"/>
    </row>
    <row r="131" spans="1:5" ht="12.75">
      <c r="A131" s="69"/>
      <c r="B131" s="69"/>
      <c r="C131" s="69"/>
      <c r="D131" s="69"/>
      <c r="E131" s="69"/>
    </row>
    <row r="132" spans="1:5" ht="12.75">
      <c r="A132" s="69"/>
      <c r="B132" s="96" t="s">
        <v>79</v>
      </c>
      <c r="C132" s="69"/>
      <c r="D132" s="69"/>
      <c r="E132" s="69"/>
    </row>
    <row r="133" spans="1:5" ht="12.75">
      <c r="A133" s="70">
        <v>3110</v>
      </c>
      <c r="B133" s="69" t="s">
        <v>71</v>
      </c>
      <c r="C133" s="71">
        <v>-35000</v>
      </c>
      <c r="D133" s="71">
        <v>-42015</v>
      </c>
      <c r="E133" s="71">
        <f aca="true" t="shared" si="8" ref="E133:E140">D133-C133</f>
        <v>-7015</v>
      </c>
    </row>
    <row r="134" spans="1:5" ht="12.75">
      <c r="A134" s="70">
        <v>3120</v>
      </c>
      <c r="B134" s="69" t="s">
        <v>72</v>
      </c>
      <c r="C134" s="71">
        <v>-3500</v>
      </c>
      <c r="D134" s="71">
        <v>-4650</v>
      </c>
      <c r="E134" s="71">
        <f t="shared" si="8"/>
        <v>-1150</v>
      </c>
    </row>
    <row r="135" spans="1:5" ht="12.75">
      <c r="A135" s="70">
        <v>3140</v>
      </c>
      <c r="B135" s="69" t="s">
        <v>74</v>
      </c>
      <c r="C135" s="71">
        <v>12000</v>
      </c>
      <c r="D135" s="71">
        <v>20591.68</v>
      </c>
      <c r="E135" s="71">
        <f t="shared" si="8"/>
        <v>8591.68</v>
      </c>
    </row>
    <row r="136" spans="1:5" ht="12.75">
      <c r="A136" s="70">
        <v>3150</v>
      </c>
      <c r="B136" s="69" t="s">
        <v>60</v>
      </c>
      <c r="C136" s="71">
        <v>6000</v>
      </c>
      <c r="D136" s="71">
        <v>2157</v>
      </c>
      <c r="E136" s="71">
        <f t="shared" si="8"/>
        <v>-3843</v>
      </c>
    </row>
    <row r="137" spans="1:5" ht="12.75">
      <c r="A137" s="70">
        <v>3160</v>
      </c>
      <c r="B137" s="69" t="s">
        <v>75</v>
      </c>
      <c r="C137" s="71">
        <v>9500</v>
      </c>
      <c r="D137" s="71">
        <v>8606</v>
      </c>
      <c r="E137" s="71">
        <f t="shared" si="8"/>
        <v>-894</v>
      </c>
    </row>
    <row r="138" spans="1:5" ht="12.75">
      <c r="A138" s="70">
        <v>3170</v>
      </c>
      <c r="B138" s="69" t="s">
        <v>62</v>
      </c>
      <c r="C138" s="71">
        <v>16000</v>
      </c>
      <c r="D138" s="71">
        <v>10319</v>
      </c>
      <c r="E138" s="71">
        <f t="shared" si="8"/>
        <v>-5681</v>
      </c>
    </row>
    <row r="139" spans="1:5" ht="12.75">
      <c r="A139" s="70">
        <v>3180</v>
      </c>
      <c r="B139" s="69" t="s">
        <v>76</v>
      </c>
      <c r="C139" s="71">
        <v>1000</v>
      </c>
      <c r="D139" s="71">
        <v>1575.56</v>
      </c>
      <c r="E139" s="71">
        <f t="shared" si="8"/>
        <v>575.56</v>
      </c>
    </row>
    <row r="140" spans="1:5" ht="12.75">
      <c r="A140" s="69"/>
      <c r="B140" s="96" t="s">
        <v>134</v>
      </c>
      <c r="C140" s="98">
        <f>+SUM(C133:C139)</f>
        <v>6000</v>
      </c>
      <c r="D140" s="98">
        <f>+SUM(D133:D139)</f>
        <v>-3415.7599999999998</v>
      </c>
      <c r="E140" s="98">
        <f t="shared" si="8"/>
        <v>-9415.76</v>
      </c>
    </row>
    <row r="141" spans="1:5" ht="12.75">
      <c r="A141" s="69"/>
      <c r="B141" s="69"/>
      <c r="C141" s="69"/>
      <c r="D141" s="69"/>
      <c r="E141" s="69"/>
    </row>
    <row r="142" spans="1:5" ht="12.75">
      <c r="A142" s="69"/>
      <c r="B142" s="96" t="s">
        <v>62</v>
      </c>
      <c r="C142" s="69"/>
      <c r="D142" s="69"/>
      <c r="E142" s="69"/>
    </row>
    <row r="143" spans="1:5" ht="12.75">
      <c r="A143" s="70">
        <v>3210</v>
      </c>
      <c r="B143" s="69" t="s">
        <v>77</v>
      </c>
      <c r="C143" s="71">
        <v>-168570</v>
      </c>
      <c r="D143" s="71">
        <v>-156808</v>
      </c>
      <c r="E143" s="71">
        <f>D143-C143</f>
        <v>11762</v>
      </c>
    </row>
    <row r="144" spans="1:5" ht="12.75">
      <c r="A144" s="70">
        <v>3220</v>
      </c>
      <c r="B144" s="69" t="s">
        <v>78</v>
      </c>
      <c r="C144" s="71">
        <v>-10154</v>
      </c>
      <c r="D144" s="71">
        <v>-9380</v>
      </c>
      <c r="E144" s="71">
        <f>D144-C144</f>
        <v>774</v>
      </c>
    </row>
    <row r="145" spans="1:5" ht="12.75">
      <c r="A145" s="70">
        <v>3230</v>
      </c>
      <c r="B145" s="69" t="s">
        <v>247</v>
      </c>
      <c r="C145" s="71">
        <v>-16000</v>
      </c>
      <c r="D145" s="71">
        <v>-10319</v>
      </c>
      <c r="E145" s="71">
        <f>D145-C145</f>
        <v>5681</v>
      </c>
    </row>
    <row r="146" spans="1:5" ht="12.75">
      <c r="A146" s="70">
        <v>3240</v>
      </c>
      <c r="B146" s="69" t="s">
        <v>80</v>
      </c>
      <c r="C146" s="71">
        <v>194728.06</v>
      </c>
      <c r="D146" s="71">
        <v>204007.31</v>
      </c>
      <c r="E146" s="71">
        <f>D146-C146</f>
        <v>9279.25</v>
      </c>
    </row>
    <row r="147" spans="1:5" ht="12.75">
      <c r="A147" s="69"/>
      <c r="B147" s="96" t="s">
        <v>135</v>
      </c>
      <c r="C147" s="98">
        <f>+SUM(C143:C146)</f>
        <v>4.059999999997672</v>
      </c>
      <c r="D147" s="98">
        <f>+SUM(D143:D146)</f>
        <v>27500.309999999998</v>
      </c>
      <c r="E147" s="98">
        <f>D147-C147</f>
        <v>27496.25</v>
      </c>
    </row>
    <row r="148" spans="1:5" ht="12.75">
      <c r="A148" s="69"/>
      <c r="B148" s="69"/>
      <c r="C148" s="69"/>
      <c r="D148" s="69"/>
      <c r="E148" s="69"/>
    </row>
    <row r="149" spans="1:5" ht="12.75">
      <c r="A149" s="69"/>
      <c r="B149" s="96" t="s">
        <v>201</v>
      </c>
      <c r="C149" s="69"/>
      <c r="D149" s="69"/>
      <c r="E149" s="69"/>
    </row>
    <row r="150" spans="1:5" ht="12.75">
      <c r="A150" s="70">
        <v>3310</v>
      </c>
      <c r="B150" s="69" t="s">
        <v>81</v>
      </c>
      <c r="C150" s="71">
        <v>-327667</v>
      </c>
      <c r="D150" s="71">
        <v>-404294</v>
      </c>
      <c r="E150" s="71">
        <f>D150-C150</f>
        <v>-76627</v>
      </c>
    </row>
    <row r="151" spans="1:5" ht="12.75">
      <c r="A151" s="70">
        <v>3320</v>
      </c>
      <c r="B151" s="69" t="s">
        <v>82</v>
      </c>
      <c r="C151" s="71">
        <v>-33700</v>
      </c>
      <c r="D151" s="71">
        <v>-54906</v>
      </c>
      <c r="E151" s="71">
        <f>D151-C151</f>
        <v>-21206</v>
      </c>
    </row>
    <row r="152" spans="1:5" ht="12.75">
      <c r="A152" s="70">
        <v>3330</v>
      </c>
      <c r="B152" s="69" t="s">
        <v>83</v>
      </c>
      <c r="C152" s="71">
        <v>-9500</v>
      </c>
      <c r="D152" s="71">
        <v>-8606</v>
      </c>
      <c r="E152" s="71">
        <f>D152-C152</f>
        <v>894</v>
      </c>
    </row>
    <row r="153" spans="1:5" ht="12.75">
      <c r="A153" s="70">
        <v>3340</v>
      </c>
      <c r="B153" s="69" t="s">
        <v>84</v>
      </c>
      <c r="C153" s="71">
        <v>375000</v>
      </c>
      <c r="D153" s="71">
        <v>443087.05</v>
      </c>
      <c r="E153" s="71">
        <f>D153-C153</f>
        <v>68087.04999999999</v>
      </c>
    </row>
    <row r="154" spans="1:5" ht="12.75">
      <c r="A154" s="69"/>
      <c r="B154" s="96" t="s">
        <v>136</v>
      </c>
      <c r="C154" s="98">
        <f>+SUM(C150:C153)</f>
        <v>4133</v>
      </c>
      <c r="D154" s="98">
        <f>+SUM(D150:D153)</f>
        <v>-24718.95000000001</v>
      </c>
      <c r="E154" s="98">
        <f>D154-C154</f>
        <v>-28851.95000000001</v>
      </c>
    </row>
    <row r="155" spans="1:5" ht="12.75">
      <c r="A155" s="69"/>
      <c r="B155" s="69"/>
      <c r="C155" s="69"/>
      <c r="D155" s="69"/>
      <c r="E155" s="69"/>
    </row>
    <row r="156" spans="1:5" ht="12.75">
      <c r="A156" s="69"/>
      <c r="B156" s="96" t="s">
        <v>18</v>
      </c>
      <c r="C156" s="69"/>
      <c r="D156" s="69"/>
      <c r="E156" s="69"/>
    </row>
    <row r="157" spans="1:5" ht="12.75">
      <c r="A157" s="70">
        <v>3410</v>
      </c>
      <c r="B157" s="69" t="s">
        <v>85</v>
      </c>
      <c r="C157" s="71">
        <v>-36000</v>
      </c>
      <c r="D157" s="71">
        <v>-36000</v>
      </c>
      <c r="E157" s="71">
        <f>D157-C157</f>
        <v>0</v>
      </c>
    </row>
    <row r="158" spans="1:5" ht="12.75">
      <c r="A158" s="70">
        <v>3420</v>
      </c>
      <c r="B158" s="69" t="s">
        <v>86</v>
      </c>
      <c r="C158" s="71">
        <v>-53131</v>
      </c>
      <c r="D158" s="71">
        <v>-53130</v>
      </c>
      <c r="E158" s="71">
        <f>D158-C158</f>
        <v>1</v>
      </c>
    </row>
    <row r="159" spans="1:5" ht="12.75">
      <c r="A159" s="70">
        <v>3430</v>
      </c>
      <c r="B159" s="69" t="s">
        <v>87</v>
      </c>
      <c r="C159" s="71">
        <v>91856</v>
      </c>
      <c r="D159" s="71">
        <v>89131.3</v>
      </c>
      <c r="E159" s="71">
        <f>D159-C159</f>
        <v>-2724.699999999997</v>
      </c>
    </row>
    <row r="160" spans="1:5" ht="12.75">
      <c r="A160" s="69"/>
      <c r="B160" s="96" t="s">
        <v>137</v>
      </c>
      <c r="C160" s="98">
        <f>+SUM(C157:C159)</f>
        <v>2725</v>
      </c>
      <c r="D160" s="98">
        <f>+SUM(D157:D159)</f>
        <v>1.3000000000029104</v>
      </c>
      <c r="E160" s="98">
        <f>D160-C160</f>
        <v>-2723.699999999997</v>
      </c>
    </row>
    <row r="161" spans="1:5" ht="12.75">
      <c r="A161" s="69"/>
      <c r="B161" s="69"/>
      <c r="C161" s="69"/>
      <c r="D161" s="69"/>
      <c r="E161" s="69"/>
    </row>
    <row r="162" spans="1:5" ht="12.75">
      <c r="A162" s="69"/>
      <c r="B162" s="96" t="s">
        <v>15</v>
      </c>
      <c r="C162" s="69"/>
      <c r="D162" s="69"/>
      <c r="E162" s="69"/>
    </row>
    <row r="163" spans="1:5" ht="12.75">
      <c r="A163" s="70">
        <v>3510</v>
      </c>
      <c r="B163" s="69" t="s">
        <v>88</v>
      </c>
      <c r="C163" s="71">
        <v>-48756</v>
      </c>
      <c r="D163" s="71">
        <v>-62211.2</v>
      </c>
      <c r="E163" s="71">
        <f>D163-C163</f>
        <v>-13455.199999999997</v>
      </c>
    </row>
    <row r="164" spans="1:5" ht="12.75">
      <c r="A164" s="70">
        <v>3520</v>
      </c>
      <c r="B164" s="69" t="s">
        <v>89</v>
      </c>
      <c r="C164" s="71">
        <v>-2400</v>
      </c>
      <c r="D164" s="71">
        <v>-3679.7</v>
      </c>
      <c r="E164" s="71">
        <f>D164-C164</f>
        <v>-1279.6999999999998</v>
      </c>
    </row>
    <row r="165" spans="1:5" ht="12.75">
      <c r="A165" s="70">
        <v>3530</v>
      </c>
      <c r="B165" s="69" t="s">
        <v>90</v>
      </c>
      <c r="C165" s="71">
        <v>61000</v>
      </c>
      <c r="D165" s="71">
        <v>65803.31</v>
      </c>
      <c r="E165" s="71">
        <f>D165-C165</f>
        <v>4803.309999999998</v>
      </c>
    </row>
    <row r="166" spans="1:5" ht="12.75">
      <c r="A166" s="69"/>
      <c r="B166" s="96" t="s">
        <v>138</v>
      </c>
      <c r="C166" s="98">
        <f>+SUM(C163:C165)</f>
        <v>9844</v>
      </c>
      <c r="D166" s="98">
        <f>+SUM(D163:D165)</f>
        <v>-87.58999999999651</v>
      </c>
      <c r="E166" s="98">
        <f>D166-C166</f>
        <v>-9931.589999999997</v>
      </c>
    </row>
    <row r="167" spans="1:5" ht="12.75">
      <c r="A167" s="69"/>
      <c r="B167" s="69"/>
      <c r="C167" s="69"/>
      <c r="D167" s="69"/>
      <c r="E167" s="69"/>
    </row>
    <row r="168" spans="1:5" ht="12.75">
      <c r="A168" s="69"/>
      <c r="B168" s="96" t="s">
        <v>6</v>
      </c>
      <c r="C168" s="69"/>
      <c r="D168" s="69"/>
      <c r="E168" s="69"/>
    </row>
    <row r="169" spans="1:5" ht="12.75">
      <c r="A169" s="70">
        <v>3610</v>
      </c>
      <c r="B169" s="69" t="s">
        <v>91</v>
      </c>
      <c r="C169" s="71">
        <v>-20000</v>
      </c>
      <c r="D169" s="71">
        <v>-20685</v>
      </c>
      <c r="E169" s="71">
        <f>D169-C169</f>
        <v>-685</v>
      </c>
    </row>
    <row r="170" spans="1:5" ht="12.75">
      <c r="A170" s="70">
        <v>3620</v>
      </c>
      <c r="B170" s="69" t="s">
        <v>92</v>
      </c>
      <c r="C170" s="71">
        <v>-5000</v>
      </c>
      <c r="D170" s="71">
        <v>-5565</v>
      </c>
      <c r="E170" s="71">
        <f>D170-C170</f>
        <v>-565</v>
      </c>
    </row>
    <row r="171" spans="1:5" ht="12.75">
      <c r="A171" s="70">
        <v>3625</v>
      </c>
      <c r="B171" s="69" t="s">
        <v>266</v>
      </c>
      <c r="C171" s="71">
        <v>0</v>
      </c>
      <c r="D171" s="71">
        <v>4059</v>
      </c>
      <c r="E171" s="71">
        <f>D171-C171</f>
        <v>4059</v>
      </c>
    </row>
    <row r="172" spans="1:5" ht="12.75">
      <c r="A172" s="70">
        <v>3630</v>
      </c>
      <c r="B172" s="69" t="s">
        <v>93</v>
      </c>
      <c r="C172" s="71">
        <v>25000</v>
      </c>
      <c r="D172" s="71">
        <v>21589.45</v>
      </c>
      <c r="E172" s="71">
        <f>D172-C172</f>
        <v>-3410.5499999999993</v>
      </c>
    </row>
    <row r="173" spans="1:5" ht="12.75">
      <c r="A173" s="69"/>
      <c r="B173" s="96" t="s">
        <v>139</v>
      </c>
      <c r="C173" s="98">
        <f>+SUM(C169:C172)</f>
        <v>0</v>
      </c>
      <c r="D173" s="98">
        <f>+SUM(D169:D172)</f>
        <v>-601.5499999999993</v>
      </c>
      <c r="E173" s="98">
        <f>D173-C173</f>
        <v>-601.5499999999993</v>
      </c>
    </row>
    <row r="174" spans="1:5" ht="12.75">
      <c r="A174" s="69"/>
      <c r="B174" s="69"/>
      <c r="C174" s="69"/>
      <c r="D174" s="69"/>
      <c r="E174" s="69"/>
    </row>
    <row r="175" spans="1:5" ht="12.75">
      <c r="A175" s="69"/>
      <c r="B175" s="96" t="s">
        <v>140</v>
      </c>
      <c r="C175" s="69"/>
      <c r="D175" s="69"/>
      <c r="E175" s="69"/>
    </row>
    <row r="176" spans="1:5" ht="12.75">
      <c r="A176" s="70">
        <v>3710</v>
      </c>
      <c r="B176" s="69" t="s">
        <v>94</v>
      </c>
      <c r="C176" s="71">
        <v>-20500</v>
      </c>
      <c r="D176" s="71">
        <v>-10367.19</v>
      </c>
      <c r="E176" s="71">
        <f>D176-C176</f>
        <v>10132.81</v>
      </c>
    </row>
    <row r="177" spans="1:5" ht="12.75">
      <c r="A177" s="70">
        <v>3720</v>
      </c>
      <c r="B177" s="69" t="s">
        <v>95</v>
      </c>
      <c r="C177" s="71">
        <v>20500</v>
      </c>
      <c r="D177" s="71">
        <v>10367.19</v>
      </c>
      <c r="E177" s="71">
        <f>D177-C177</f>
        <v>-10132.81</v>
      </c>
    </row>
    <row r="178" spans="1:5" ht="12.75">
      <c r="A178" s="69"/>
      <c r="B178" s="96" t="s">
        <v>141</v>
      </c>
      <c r="C178" s="98">
        <f>+SUM(C176:C177)</f>
        <v>0</v>
      </c>
      <c r="D178" s="98">
        <f>+SUM(D176:D177)</f>
        <v>0</v>
      </c>
      <c r="E178" s="98">
        <f>D178-C178</f>
        <v>0</v>
      </c>
    </row>
    <row r="179" spans="1:5" ht="12.75">
      <c r="A179" s="69"/>
      <c r="B179" s="69"/>
      <c r="C179" s="69"/>
      <c r="D179" s="69"/>
      <c r="E179" s="69"/>
    </row>
    <row r="180" spans="1:5" ht="12.75">
      <c r="A180" s="69"/>
      <c r="B180" s="96" t="s">
        <v>228</v>
      </c>
      <c r="C180" s="69"/>
      <c r="D180" s="69"/>
      <c r="E180" s="69"/>
    </row>
    <row r="181" spans="1:5" ht="12.75">
      <c r="A181" s="70">
        <v>3910</v>
      </c>
      <c r="B181" s="69" t="s">
        <v>230</v>
      </c>
      <c r="C181" s="71">
        <v>0</v>
      </c>
      <c r="D181" s="71">
        <v>-16527.8</v>
      </c>
      <c r="E181" s="71">
        <f>D181-C181</f>
        <v>-16527.8</v>
      </c>
    </row>
    <row r="182" spans="1:5" ht="12.75">
      <c r="A182" s="70">
        <v>3920</v>
      </c>
      <c r="B182" s="69" t="s">
        <v>231</v>
      </c>
      <c r="C182" s="71">
        <v>0</v>
      </c>
      <c r="D182" s="71">
        <v>16513.55</v>
      </c>
      <c r="E182" s="71">
        <f>D182-C182</f>
        <v>16513.55</v>
      </c>
    </row>
    <row r="183" spans="1:5" ht="12.75">
      <c r="A183" s="69"/>
      <c r="B183" s="96" t="s">
        <v>232</v>
      </c>
      <c r="C183" s="98">
        <f>+SUM(C181:C182)</f>
        <v>0</v>
      </c>
      <c r="D183" s="98">
        <f>+SUM(D181:D182)</f>
        <v>-14.25</v>
      </c>
      <c r="E183" s="98">
        <f>D183-C183</f>
        <v>-14.25</v>
      </c>
    </row>
    <row r="184" spans="1:5" ht="12.75">
      <c r="A184" s="69"/>
      <c r="B184" s="96" t="s">
        <v>229</v>
      </c>
      <c r="C184" s="98">
        <f>+SUM(C133:C139)+SUM(C143:C146)+SUM(C150:C153)+SUM(C157:C159)+SUM(C163:C165)+SUM(C169:C172)+SUM(C176:C177)+SUM(C181:C182)</f>
        <v>22706.059999999998</v>
      </c>
      <c r="D184" s="98">
        <f>+SUM(D133:D139)+SUM(D143:D146)+SUM(D150:D153)+SUM(D157:D159)+SUM(D163:D165)+SUM(D169:D172)+SUM(D176:D177)+SUM(D181:D182)</f>
        <v>-1336.4900000000052</v>
      </c>
      <c r="E184" s="98">
        <f>D184-C184</f>
        <v>-24042.550000000003</v>
      </c>
    </row>
    <row r="185" spans="1:5" ht="12.75">
      <c r="A185" s="69"/>
      <c r="B185" s="96" t="s">
        <v>144</v>
      </c>
      <c r="C185" s="98">
        <f>+SUM(C6:C9)+SUM(C15:C21)+SUM(C25:C31)+SUM(C35:C44)+SUM(C48:C51)+SUM(C53:C55)+SUM(C58:C61)+SUM(C65:C74)+SUM(C78:C78)+SUM(C83:C84)+SUM(C87:C91)+SUM(C95:C98)+SUM(C102:C106)+SUM(C110:C112)+SUM(C116:C117)+SUM(C121:C124)+SUM(C133:C139)+SUM(C143:C146)+SUM(C150:C153)+SUM(C157:C159)+SUM(C163:C165)+SUM(C169:C172)+SUM(C176:C177)+SUM(C181:C182)</f>
        <v>136933.16000000003</v>
      </c>
      <c r="D185" s="98">
        <f>+SUM(D6:D9)+SUM(D15:D21)+SUM(D25:D31)+SUM(D35:D44)+SUM(D48:D51)+SUM(D53:D55)+SUM(D58:D61)+SUM(D65:D74)+SUM(D78:D78)+SUM(D83:D84)+SUM(D87:D91)+SUM(D95:D98)+SUM(D102:D106)+SUM(D110:D112)+SUM(D116:D117)+SUM(D121:D124)+SUM(D133:D139)+SUM(D143:D146)+SUM(D150:D153)+SUM(D157:D159)+SUM(D163:D165)+SUM(D169:D172)+SUM(D176:D177)+SUM(D181:D182)</f>
        <v>151134.10999999996</v>
      </c>
      <c r="E185" s="98">
        <f>D185-C185</f>
        <v>14200.949999999924</v>
      </c>
    </row>
    <row r="186" ht="12.75">
      <c r="A186" s="69"/>
    </row>
    <row r="187" spans="1:5" ht="12.75">
      <c r="A187" s="69"/>
      <c r="B187" s="96" t="s">
        <v>145</v>
      </c>
      <c r="C187" s="69"/>
      <c r="D187" s="69"/>
      <c r="E187" s="69"/>
    </row>
    <row r="188" spans="1:5" ht="12.75">
      <c r="A188" s="69"/>
      <c r="B188" s="69"/>
      <c r="C188" s="69"/>
      <c r="D188" s="69"/>
      <c r="E188" s="69"/>
    </row>
    <row r="189" spans="1:5" ht="12.75">
      <c r="A189" s="69"/>
      <c r="B189" s="96" t="s">
        <v>146</v>
      </c>
      <c r="C189" s="69"/>
      <c r="D189" s="69"/>
      <c r="E189" s="69"/>
    </row>
    <row r="190" spans="1:5" ht="12.75">
      <c r="A190" s="69"/>
      <c r="B190" s="69"/>
      <c r="C190" s="69"/>
      <c r="D190" s="69"/>
      <c r="E190" s="69"/>
    </row>
    <row r="191" spans="1:5" ht="12.75">
      <c r="A191" s="69"/>
      <c r="B191" s="96" t="s">
        <v>147</v>
      </c>
      <c r="C191" s="69"/>
      <c r="D191" s="69"/>
      <c r="E191" s="69"/>
    </row>
    <row r="192" spans="1:5" ht="12.75">
      <c r="A192" s="70">
        <v>5101</v>
      </c>
      <c r="B192" s="69" t="s">
        <v>226</v>
      </c>
      <c r="C192" s="71">
        <v>0</v>
      </c>
      <c r="D192" s="71">
        <v>8472.25</v>
      </c>
      <c r="E192" s="71">
        <f>D192-C192</f>
        <v>8472.25</v>
      </c>
    </row>
    <row r="193" spans="1:5" ht="12.75">
      <c r="A193" s="70">
        <v>5102</v>
      </c>
      <c r="B193" s="69" t="s">
        <v>58</v>
      </c>
      <c r="C193" s="71">
        <v>0</v>
      </c>
      <c r="D193" s="71">
        <v>93405.13</v>
      </c>
      <c r="E193" s="71">
        <f>D193-C193</f>
        <v>93405.13</v>
      </c>
    </row>
    <row r="194" spans="1:5" ht="12.75">
      <c r="A194" s="70">
        <v>5104</v>
      </c>
      <c r="B194" s="69" t="s">
        <v>227</v>
      </c>
      <c r="C194" s="71">
        <v>0</v>
      </c>
      <c r="D194" s="71">
        <v>413619.74</v>
      </c>
      <c r="E194" s="71">
        <f>D194-C194</f>
        <v>413619.74</v>
      </c>
    </row>
    <row r="195" spans="1:5" ht="12.75">
      <c r="A195" s="70">
        <v>5106</v>
      </c>
      <c r="B195" s="69" t="s">
        <v>148</v>
      </c>
      <c r="C195" s="71">
        <v>0</v>
      </c>
      <c r="D195" s="71">
        <v>16040.24</v>
      </c>
      <c r="E195" s="71">
        <f>D195-C195</f>
        <v>16040.24</v>
      </c>
    </row>
    <row r="196" spans="1:5" ht="12.75">
      <c r="A196" s="69"/>
      <c r="B196" s="96" t="s">
        <v>149</v>
      </c>
      <c r="C196" s="98">
        <f>+SUM(C192:C195)</f>
        <v>0</v>
      </c>
      <c r="D196" s="98">
        <f>+SUM(D192:D195)</f>
        <v>531537.36</v>
      </c>
      <c r="E196" s="98">
        <f>D196-C196</f>
        <v>531537.36</v>
      </c>
    </row>
    <row r="197" spans="1:5" ht="12.75">
      <c r="A197" s="69"/>
      <c r="B197" s="69"/>
      <c r="C197" s="69"/>
      <c r="D197" s="69"/>
      <c r="E197" s="69"/>
    </row>
    <row r="198" spans="1:5" ht="12.75">
      <c r="A198" s="69"/>
      <c r="B198" s="96" t="s">
        <v>150</v>
      </c>
      <c r="C198" s="69"/>
      <c r="D198" s="69"/>
      <c r="E198" s="69"/>
    </row>
    <row r="199" spans="1:5" ht="12.75">
      <c r="A199" s="70">
        <v>5221</v>
      </c>
      <c r="B199" s="69" t="s">
        <v>210</v>
      </c>
      <c r="C199" s="71">
        <v>0</v>
      </c>
      <c r="D199" s="71">
        <v>550000</v>
      </c>
      <c r="E199" s="71">
        <f aca="true" t="shared" si="9" ref="E199:E204">D199-C199</f>
        <v>550000</v>
      </c>
    </row>
    <row r="200" spans="1:5" ht="12.75">
      <c r="A200" s="70">
        <v>5222</v>
      </c>
      <c r="B200" s="69" t="s">
        <v>251</v>
      </c>
      <c r="C200" s="71">
        <v>0</v>
      </c>
      <c r="D200" s="71">
        <v>2550000</v>
      </c>
      <c r="E200" s="71">
        <f t="shared" si="9"/>
        <v>2550000</v>
      </c>
    </row>
    <row r="201" spans="1:5" ht="12.75">
      <c r="A201" s="70">
        <v>5223</v>
      </c>
      <c r="B201" s="69" t="s">
        <v>211</v>
      </c>
      <c r="C201" s="71">
        <v>0</v>
      </c>
      <c r="D201" s="71">
        <v>2500000</v>
      </c>
      <c r="E201" s="71">
        <f t="shared" si="9"/>
        <v>2500000</v>
      </c>
    </row>
    <row r="202" spans="1:5" ht="12.75">
      <c r="A202" s="69"/>
      <c r="B202" s="96" t="s">
        <v>151</v>
      </c>
      <c r="C202" s="98">
        <f>+SUM(C199:C201)</f>
        <v>0</v>
      </c>
      <c r="D202" s="98">
        <f>+SUM(D199:D201)</f>
        <v>5600000</v>
      </c>
      <c r="E202" s="98">
        <f t="shared" si="9"/>
        <v>5600000</v>
      </c>
    </row>
    <row r="203" spans="1:5" ht="12.75">
      <c r="A203" s="70">
        <v>5300</v>
      </c>
      <c r="B203" s="69" t="s">
        <v>152</v>
      </c>
      <c r="C203" s="71">
        <v>0</v>
      </c>
      <c r="D203" s="71">
        <v>3861253.22</v>
      </c>
      <c r="E203" s="71">
        <f t="shared" si="9"/>
        <v>3861253.22</v>
      </c>
    </row>
    <row r="204" spans="1:5" ht="12.75">
      <c r="A204" s="69"/>
      <c r="B204" s="96" t="s">
        <v>153</v>
      </c>
      <c r="C204" s="98">
        <f>+SUM(C192:C195)+SUM(C199:C201)+SUM(C203:C203)</f>
        <v>0</v>
      </c>
      <c r="D204" s="98">
        <f>+SUM(D192:D195)+SUM(D199:D201)+SUM(D203:D203)</f>
        <v>9992790.58</v>
      </c>
      <c r="E204" s="98">
        <f t="shared" si="9"/>
        <v>9992790.58</v>
      </c>
    </row>
    <row r="205" spans="1:5" ht="12.75">
      <c r="A205" s="69"/>
      <c r="B205" s="69"/>
      <c r="C205" s="69"/>
      <c r="D205" s="69"/>
      <c r="E205" s="69"/>
    </row>
    <row r="206" spans="1:5" ht="12.75">
      <c r="A206" s="69"/>
      <c r="B206" s="96" t="s">
        <v>154</v>
      </c>
      <c r="C206" s="69"/>
      <c r="D206" s="69"/>
      <c r="E206" s="69"/>
    </row>
    <row r="207" spans="1:5" ht="12.75">
      <c r="A207" s="69"/>
      <c r="B207" s="69"/>
      <c r="C207" s="69"/>
      <c r="D207" s="69"/>
      <c r="E207" s="69"/>
    </row>
    <row r="208" spans="1:5" ht="12.75">
      <c r="A208" s="69"/>
      <c r="B208" s="96" t="s">
        <v>155</v>
      </c>
      <c r="C208" s="69"/>
      <c r="D208" s="69"/>
      <c r="E208" s="69"/>
    </row>
    <row r="209" spans="1:5" ht="12.75">
      <c r="A209" s="70">
        <v>5420</v>
      </c>
      <c r="B209" s="69" t="s">
        <v>155</v>
      </c>
      <c r="C209" s="71">
        <v>0</v>
      </c>
      <c r="D209" s="71">
        <v>54101.32</v>
      </c>
      <c r="E209" s="71">
        <f>D209-C209</f>
        <v>54101.32</v>
      </c>
    </row>
    <row r="210" spans="1:5" ht="12.75">
      <c r="A210" s="69"/>
      <c r="B210" s="96" t="s">
        <v>156</v>
      </c>
      <c r="C210" s="98">
        <f>+SUM(C209:C209)</f>
        <v>0</v>
      </c>
      <c r="D210" s="98">
        <f>+SUM(D209:D209)</f>
        <v>54101.32</v>
      </c>
      <c r="E210" s="98">
        <f>D210-C210</f>
        <v>54101.32</v>
      </c>
    </row>
    <row r="211" spans="1:5" ht="12.75">
      <c r="A211" s="69"/>
      <c r="B211" s="69"/>
      <c r="C211" s="69"/>
      <c r="D211" s="69"/>
      <c r="E211" s="69"/>
    </row>
    <row r="212" spans="1:5" ht="12.75">
      <c r="A212" s="69"/>
      <c r="B212" s="96" t="s">
        <v>157</v>
      </c>
      <c r="C212" s="69"/>
      <c r="D212" s="69"/>
      <c r="E212" s="69"/>
    </row>
    <row r="213" spans="1:5" ht="12.75">
      <c r="A213" s="70">
        <v>5519</v>
      </c>
      <c r="B213" s="69" t="s">
        <v>158</v>
      </c>
      <c r="C213" s="71">
        <v>0</v>
      </c>
      <c r="D213" s="71">
        <v>0</v>
      </c>
      <c r="E213" s="71">
        <f aca="true" t="shared" si="10" ref="E213:E223">D213-C213</f>
        <v>0</v>
      </c>
    </row>
    <row r="214" spans="1:5" ht="12.75">
      <c r="A214" s="70">
        <v>5520</v>
      </c>
      <c r="B214" s="69" t="s">
        <v>159</v>
      </c>
      <c r="C214" s="71">
        <v>0</v>
      </c>
      <c r="D214" s="71">
        <v>0</v>
      </c>
      <c r="E214" s="71">
        <f t="shared" si="10"/>
        <v>0</v>
      </c>
    </row>
    <row r="215" spans="1:5" ht="12.75">
      <c r="A215" s="70">
        <v>5530</v>
      </c>
      <c r="B215" s="69" t="s">
        <v>160</v>
      </c>
      <c r="C215" s="71">
        <v>0</v>
      </c>
      <c r="D215" s="71">
        <v>0</v>
      </c>
      <c r="E215" s="71">
        <f t="shared" si="10"/>
        <v>0</v>
      </c>
    </row>
    <row r="216" spans="1:5" ht="12.75">
      <c r="A216" s="70">
        <v>5550</v>
      </c>
      <c r="B216" s="69" t="s">
        <v>161</v>
      </c>
      <c r="C216" s="71">
        <v>0</v>
      </c>
      <c r="D216" s="71">
        <v>0</v>
      </c>
      <c r="E216" s="71">
        <f t="shared" si="10"/>
        <v>0</v>
      </c>
    </row>
    <row r="217" spans="1:5" ht="12.75">
      <c r="A217" s="70">
        <v>5560</v>
      </c>
      <c r="B217" s="69" t="s">
        <v>162</v>
      </c>
      <c r="C217" s="71">
        <v>0</v>
      </c>
      <c r="D217" s="71">
        <v>0</v>
      </c>
      <c r="E217" s="71">
        <f t="shared" si="10"/>
        <v>0</v>
      </c>
    </row>
    <row r="218" spans="1:5" ht="12.75">
      <c r="A218" s="70">
        <v>5570</v>
      </c>
      <c r="B218" s="69" t="s">
        <v>163</v>
      </c>
      <c r="C218" s="71">
        <v>0</v>
      </c>
      <c r="D218" s="71">
        <v>9396</v>
      </c>
      <c r="E218" s="71">
        <f t="shared" si="10"/>
        <v>9396</v>
      </c>
    </row>
    <row r="219" spans="1:5" ht="12.75">
      <c r="A219" s="70">
        <v>5580</v>
      </c>
      <c r="B219" s="69" t="s">
        <v>267</v>
      </c>
      <c r="C219" s="71">
        <v>0</v>
      </c>
      <c r="D219" s="71">
        <v>12932.75</v>
      </c>
      <c r="E219" s="71">
        <f t="shared" si="10"/>
        <v>12932.75</v>
      </c>
    </row>
    <row r="220" spans="1:5" ht="12.75">
      <c r="A220" s="70">
        <v>5582</v>
      </c>
      <c r="B220" s="69" t="s">
        <v>268</v>
      </c>
      <c r="C220" s="71">
        <v>0</v>
      </c>
      <c r="D220" s="71">
        <v>8000</v>
      </c>
      <c r="E220" s="71">
        <f t="shared" si="10"/>
        <v>8000</v>
      </c>
    </row>
    <row r="221" spans="1:5" ht="12.75">
      <c r="A221" s="70">
        <v>5584</v>
      </c>
      <c r="B221" s="69" t="s">
        <v>269</v>
      </c>
      <c r="C221" s="71">
        <v>0</v>
      </c>
      <c r="D221" s="71">
        <v>9500</v>
      </c>
      <c r="E221" s="71">
        <f t="shared" si="10"/>
        <v>9500</v>
      </c>
    </row>
    <row r="222" spans="1:5" ht="12.75">
      <c r="A222" s="70">
        <v>5590</v>
      </c>
      <c r="B222" s="69" t="s">
        <v>157</v>
      </c>
      <c r="C222" s="71">
        <v>0</v>
      </c>
      <c r="D222" s="71">
        <v>0</v>
      </c>
      <c r="E222" s="71">
        <f t="shared" si="10"/>
        <v>0</v>
      </c>
    </row>
    <row r="223" spans="1:5" ht="12.75">
      <c r="A223" s="69"/>
      <c r="B223" s="96" t="s">
        <v>164</v>
      </c>
      <c r="C223" s="98">
        <f>+SUM(C213:C222)</f>
        <v>0</v>
      </c>
      <c r="D223" s="98">
        <f>+SUM(D213:D222)</f>
        <v>39828.75</v>
      </c>
      <c r="E223" s="98">
        <f t="shared" si="10"/>
        <v>39828.75</v>
      </c>
    </row>
    <row r="224" spans="1:5" ht="12.75">
      <c r="A224" s="69"/>
      <c r="B224" s="69"/>
      <c r="C224" s="69"/>
      <c r="D224" s="69"/>
      <c r="E224" s="69"/>
    </row>
    <row r="225" spans="1:5" ht="12.75">
      <c r="A225" s="69"/>
      <c r="B225" s="96" t="s">
        <v>165</v>
      </c>
      <c r="C225" s="69"/>
      <c r="D225" s="69"/>
      <c r="E225" s="69"/>
    </row>
    <row r="226" spans="1:5" ht="12.75">
      <c r="A226" s="70">
        <v>5910</v>
      </c>
      <c r="B226" s="69" t="s">
        <v>166</v>
      </c>
      <c r="C226" s="71">
        <v>0</v>
      </c>
      <c r="D226" s="71">
        <v>701</v>
      </c>
      <c r="E226" s="71">
        <f aca="true" t="shared" si="11" ref="E226:E231">D226-C226</f>
        <v>701</v>
      </c>
    </row>
    <row r="227" spans="1:5" ht="12.75">
      <c r="A227" s="70">
        <v>5920</v>
      </c>
      <c r="B227" s="69" t="s">
        <v>270</v>
      </c>
      <c r="C227" s="71">
        <v>0</v>
      </c>
      <c r="D227" s="71">
        <v>357823.45</v>
      </c>
      <c r="E227" s="71">
        <f t="shared" si="11"/>
        <v>357823.45</v>
      </c>
    </row>
    <row r="228" spans="1:5" ht="12.75">
      <c r="A228" s="70">
        <v>5930</v>
      </c>
      <c r="B228" s="69" t="s">
        <v>168</v>
      </c>
      <c r="C228" s="71">
        <v>0</v>
      </c>
      <c r="D228" s="71">
        <v>0</v>
      </c>
      <c r="E228" s="71">
        <f t="shared" si="11"/>
        <v>0</v>
      </c>
    </row>
    <row r="229" spans="1:5" ht="12.75">
      <c r="A229" s="69"/>
      <c r="B229" s="96" t="s">
        <v>169</v>
      </c>
      <c r="C229" s="98">
        <f>+SUM(C226:C228)</f>
        <v>0</v>
      </c>
      <c r="D229" s="98">
        <f>+SUM(D226:D228)</f>
        <v>358524.45</v>
      </c>
      <c r="E229" s="98">
        <f t="shared" si="11"/>
        <v>358524.45</v>
      </c>
    </row>
    <row r="230" spans="1:5" ht="12.75">
      <c r="A230" s="69"/>
      <c r="B230" s="96" t="s">
        <v>171</v>
      </c>
      <c r="C230" s="98">
        <f>+SUM(C192:C195)+SUM(C199:C201)+SUM(C203:C203)+SUM(C209:C209)+SUM(C213:C222)+SUM(C226:C228)</f>
        <v>0</v>
      </c>
      <c r="D230" s="98">
        <f>+SUM(D192:D195)+SUM(D199:D201)+SUM(D203:D203)+SUM(D209:D209)+SUM(D213:D222)+SUM(D226:D228)</f>
        <v>10445245.1</v>
      </c>
      <c r="E230" s="98">
        <f t="shared" si="11"/>
        <v>10445245.1</v>
      </c>
    </row>
    <row r="231" spans="1:5" ht="12.75">
      <c r="A231" s="69"/>
      <c r="B231" s="96" t="s">
        <v>170</v>
      </c>
      <c r="C231" s="98">
        <f>+SUM(C209:C209)+SUM(C213:C222)+SUM(C226:C228)</f>
        <v>0</v>
      </c>
      <c r="D231" s="98">
        <f>+SUM(D209:D209)+SUM(D213:D222)+SUM(D226:D228)</f>
        <v>452454.52</v>
      </c>
      <c r="E231" s="98">
        <f t="shared" si="11"/>
        <v>452454.52</v>
      </c>
    </row>
    <row r="232" ht="12.75">
      <c r="A232" s="69"/>
    </row>
    <row r="233" spans="1:5" ht="12.75">
      <c r="A233" s="69"/>
      <c r="B233" s="96" t="s">
        <v>172</v>
      </c>
      <c r="C233" s="69"/>
      <c r="D233" s="69"/>
      <c r="E233" s="69"/>
    </row>
    <row r="234" spans="1:5" ht="12.75">
      <c r="A234" s="69"/>
      <c r="B234" s="69"/>
      <c r="C234" s="69"/>
      <c r="D234" s="69"/>
      <c r="E234" s="69"/>
    </row>
    <row r="235" spans="1:5" ht="12.75">
      <c r="A235" s="69"/>
      <c r="B235" s="96" t="s">
        <v>173</v>
      </c>
      <c r="C235" s="69"/>
      <c r="D235" s="69"/>
      <c r="E235" s="69"/>
    </row>
    <row r="236" spans="1:5" ht="12.75">
      <c r="A236" s="70">
        <v>6110</v>
      </c>
      <c r="B236" s="69" t="s">
        <v>174</v>
      </c>
      <c r="C236" s="71">
        <v>0</v>
      </c>
      <c r="D236" s="71">
        <v>-6069776.29</v>
      </c>
      <c r="E236" s="71">
        <f>D236-C236</f>
        <v>-6069776.29</v>
      </c>
    </row>
    <row r="237" spans="1:5" ht="12.75">
      <c r="A237" s="69"/>
      <c r="B237" s="96" t="s">
        <v>175</v>
      </c>
      <c r="C237" s="98">
        <f>+SUM(C6:C9)+SUM(C15:C21)+SUM(C25:C31)+SUM(C35:C44)+SUM(C48:C51)+SUM(C53:C55)+SUM(C58:C61)+SUM(C65:C74)+SUM(C78:C78)+SUM(C83:C84)+SUM(C87:C91)+SUM(C95:C98)+SUM(C102:C106)+SUM(C110:C112)+SUM(C116:C117)+SUM(C121:C124)+SUM(C133:C139)+SUM(C143:C146)+SUM(C150:C153)+SUM(C157:C159)+SUM(C163:C165)+SUM(C169:C172)+SUM(C176:C177)+SUM(C181:C182)</f>
        <v>136933.16000000003</v>
      </c>
      <c r="D237" s="98">
        <f>+SUM(D6:D9)+SUM(D15:D21)+SUM(D25:D31)+SUM(D35:D44)+SUM(D48:D51)+SUM(D53:D55)+SUM(D58:D61)+SUM(D65:D74)+SUM(D78:D78)+SUM(D83:D84)+SUM(D87:D91)+SUM(D95:D98)+SUM(D102:D106)+SUM(D110:D112)+SUM(D116:D117)+SUM(D121:D124)+SUM(D133:D139)+SUM(D143:D146)+SUM(D150:D153)+SUM(D157:D159)+SUM(D163:D165)+SUM(D169:D172)+SUM(D176:D177)+SUM(D181:D182)</f>
        <v>151134.10999999996</v>
      </c>
      <c r="E237" s="98">
        <f>D237-C237</f>
        <v>14200.949999999924</v>
      </c>
    </row>
    <row r="238" spans="1:5" ht="12.75">
      <c r="A238" s="70">
        <v>6130</v>
      </c>
      <c r="B238" s="69" t="s">
        <v>275</v>
      </c>
      <c r="C238" s="71">
        <v>0</v>
      </c>
      <c r="D238" s="71">
        <v>76318.87</v>
      </c>
      <c r="E238" s="71">
        <f>D238-C238</f>
        <v>76318.87</v>
      </c>
    </row>
    <row r="239" spans="1:5" ht="12.75">
      <c r="A239" s="69"/>
      <c r="B239" s="96" t="s">
        <v>178</v>
      </c>
      <c r="C239" s="98">
        <f>+SUM(C6:C9)+SUM(C15:C21)+SUM(C25:C31)+SUM(C35:C44)+SUM(C48:C51)+SUM(C53:C55)+SUM(C58:C61)+SUM(C65:C74)+SUM(C78:C78)+SUM(C83:C84)+SUM(C87:C91)+SUM(C95:C98)+SUM(C102:C106)+SUM(C110:C112)+SUM(C116:C117)+SUM(C121:C124)+SUM(C133:C139)+SUM(C143:C146)+SUM(C150:C153)+SUM(C157:C159)+SUM(C163:C165)+SUM(C169:C172)+SUM(C176:C177)+SUM(C181:C182)+SUM(C236:C236)+SUM(C238:C238)</f>
        <v>136933.16000000003</v>
      </c>
      <c r="D239" s="98">
        <f>+SUM(D6:D9)+SUM(D15:D21)+SUM(D25:D31)+SUM(D35:D44)+SUM(D48:D51)+SUM(D53:D55)+SUM(D58:D61)+SUM(D65:D74)+SUM(D78:D78)+SUM(D83:D84)+SUM(D87:D91)+SUM(D95:D98)+SUM(D102:D106)+SUM(D110:D112)+SUM(D116:D117)+SUM(D121:D124)+SUM(D133:D139)+SUM(D143:D146)+SUM(D150:D153)+SUM(D157:D159)+SUM(D163:D165)+SUM(D169:D172)+SUM(D176:D177)+SUM(D181:D182)+SUM(D236:D236)+SUM(D238:D238)</f>
        <v>-5842323.31</v>
      </c>
      <c r="E239" s="98">
        <f>D239-C239</f>
        <v>-5979256.47</v>
      </c>
    </row>
    <row r="240" spans="1:5" ht="12.75">
      <c r="A240" s="69"/>
      <c r="B240" s="69"/>
      <c r="C240" s="69"/>
      <c r="D240" s="69"/>
      <c r="E240" s="69"/>
    </row>
    <row r="241" spans="1:5" ht="12.75">
      <c r="A241" s="69"/>
      <c r="B241" s="96" t="s">
        <v>180</v>
      </c>
      <c r="C241" s="69"/>
      <c r="D241" s="69"/>
      <c r="E241" s="69"/>
    </row>
    <row r="242" spans="1:5" ht="12.75">
      <c r="A242" s="70">
        <v>6320</v>
      </c>
      <c r="B242" s="69" t="s">
        <v>181</v>
      </c>
      <c r="C242" s="71">
        <v>0</v>
      </c>
      <c r="D242" s="71">
        <v>-173784</v>
      </c>
      <c r="E242" s="71">
        <f aca="true" t="shared" si="12" ref="E242:E248">D242-C242</f>
        <v>-173784</v>
      </c>
    </row>
    <row r="243" spans="1:5" ht="12.75">
      <c r="A243" s="70">
        <v>6340</v>
      </c>
      <c r="B243" s="69" t="s">
        <v>235</v>
      </c>
      <c r="C243" s="71">
        <v>0</v>
      </c>
      <c r="D243" s="71">
        <v>-8700</v>
      </c>
      <c r="E243" s="71">
        <f t="shared" si="12"/>
        <v>-8700</v>
      </c>
    </row>
    <row r="244" spans="1:5" ht="12.75">
      <c r="A244" s="70">
        <v>6345</v>
      </c>
      <c r="B244" s="69" t="s">
        <v>236</v>
      </c>
      <c r="C244" s="71">
        <v>0</v>
      </c>
      <c r="D244" s="71">
        <v>-10968</v>
      </c>
      <c r="E244" s="71">
        <f t="shared" si="12"/>
        <v>-10968</v>
      </c>
    </row>
    <row r="245" spans="1:5" ht="12.75">
      <c r="A245" s="70">
        <v>6350</v>
      </c>
      <c r="B245" s="69" t="s">
        <v>233</v>
      </c>
      <c r="C245" s="71">
        <v>0</v>
      </c>
      <c r="D245" s="71">
        <v>-15219.83</v>
      </c>
      <c r="E245" s="71">
        <f t="shared" si="12"/>
        <v>-15219.83</v>
      </c>
    </row>
    <row r="246" spans="1:5" ht="12.75">
      <c r="A246" s="70">
        <v>6360</v>
      </c>
      <c r="B246" s="69" t="s">
        <v>234</v>
      </c>
      <c r="C246" s="71">
        <v>0</v>
      </c>
      <c r="D246" s="71">
        <v>-15818.83</v>
      </c>
      <c r="E246" s="71">
        <f t="shared" si="12"/>
        <v>-15818.83</v>
      </c>
    </row>
    <row r="247" spans="1:5" ht="12.75">
      <c r="A247" s="70">
        <v>6380</v>
      </c>
      <c r="B247" s="69" t="s">
        <v>182</v>
      </c>
      <c r="C247" s="71">
        <v>0</v>
      </c>
      <c r="D247" s="71">
        <v>0</v>
      </c>
      <c r="E247" s="71">
        <f t="shared" si="12"/>
        <v>0</v>
      </c>
    </row>
    <row r="248" spans="1:5" ht="12.75">
      <c r="A248" s="69"/>
      <c r="B248" s="96" t="s">
        <v>183</v>
      </c>
      <c r="C248" s="98">
        <f>+SUM(C242:C247)</f>
        <v>0</v>
      </c>
      <c r="D248" s="98">
        <f>+SUM(D242:D247)</f>
        <v>-224490.65999999997</v>
      </c>
      <c r="E248" s="98">
        <f t="shared" si="12"/>
        <v>-224490.65999999997</v>
      </c>
    </row>
    <row r="249" spans="1:5" ht="12.75">
      <c r="A249" s="69"/>
      <c r="B249" s="69"/>
      <c r="C249" s="69"/>
      <c r="D249" s="69"/>
      <c r="E249" s="69"/>
    </row>
    <row r="250" spans="1:5" ht="12.75">
      <c r="A250" s="69"/>
      <c r="B250" s="96" t="s">
        <v>212</v>
      </c>
      <c r="C250" s="69"/>
      <c r="D250" s="69"/>
      <c r="E250" s="69"/>
    </row>
    <row r="251" spans="1:5" ht="12.75">
      <c r="A251" s="69"/>
      <c r="B251" s="69"/>
      <c r="C251" s="69"/>
      <c r="D251" s="69"/>
      <c r="E251" s="69"/>
    </row>
    <row r="252" spans="1:5" ht="12.75">
      <c r="A252" s="69"/>
      <c r="B252" s="96" t="s">
        <v>184</v>
      </c>
      <c r="C252" s="69"/>
      <c r="D252" s="69"/>
      <c r="E252" s="69"/>
    </row>
    <row r="253" spans="1:5" ht="12.75">
      <c r="A253" s="70">
        <v>6620</v>
      </c>
      <c r="B253" s="69" t="s">
        <v>185</v>
      </c>
      <c r="C253" s="71">
        <v>0</v>
      </c>
      <c r="D253" s="71">
        <v>-134921.75</v>
      </c>
      <c r="E253" s="71">
        <f>D253-C253</f>
        <v>-134921.75</v>
      </c>
    </row>
    <row r="254" spans="1:5" ht="12.75">
      <c r="A254" s="70">
        <v>6630</v>
      </c>
      <c r="B254" s="69" t="s">
        <v>271</v>
      </c>
      <c r="C254" s="71">
        <v>0</v>
      </c>
      <c r="D254" s="71">
        <v>-314292.67</v>
      </c>
      <c r="E254" s="71">
        <f>D254-C254</f>
        <v>-314292.67</v>
      </c>
    </row>
    <row r="255" spans="1:5" ht="12.75">
      <c r="A255" s="70">
        <v>6640</v>
      </c>
      <c r="B255" s="69" t="s">
        <v>272</v>
      </c>
      <c r="C255" s="71">
        <v>0</v>
      </c>
      <c r="D255" s="71">
        <v>-26531.73</v>
      </c>
      <c r="E255" s="71">
        <f>D255-C255</f>
        <v>-26531.73</v>
      </c>
    </row>
    <row r="256" spans="1:5" ht="12.75">
      <c r="A256" s="70">
        <v>6650</v>
      </c>
      <c r="B256" s="69" t="s">
        <v>273</v>
      </c>
      <c r="C256" s="71">
        <v>0</v>
      </c>
      <c r="D256" s="71">
        <v>-29083.63</v>
      </c>
      <c r="E256" s="71">
        <f>D256-C256</f>
        <v>-29083.63</v>
      </c>
    </row>
    <row r="257" spans="1:5" ht="12.75">
      <c r="A257" s="69"/>
      <c r="B257" s="96" t="s">
        <v>186</v>
      </c>
      <c r="C257" s="98">
        <f>+SUM(C253:C256)</f>
        <v>0</v>
      </c>
      <c r="D257" s="98">
        <f>+SUM(D253:D256)</f>
        <v>-504829.77999999997</v>
      </c>
      <c r="E257" s="98">
        <f>D257-C257</f>
        <v>-504829.77999999997</v>
      </c>
    </row>
    <row r="258" spans="1:5" ht="12.75">
      <c r="A258" s="69"/>
      <c r="B258" s="69"/>
      <c r="C258" s="69"/>
      <c r="D258" s="69"/>
      <c r="E258" s="69"/>
    </row>
    <row r="259" spans="1:5" ht="12.75">
      <c r="A259" s="69"/>
      <c r="B259" s="96" t="s">
        <v>187</v>
      </c>
      <c r="C259" s="69"/>
      <c r="D259" s="69"/>
      <c r="E259" s="69"/>
    </row>
    <row r="260" spans="1:5" ht="12.75">
      <c r="A260" s="70">
        <v>6905</v>
      </c>
      <c r="B260" s="69" t="s">
        <v>187</v>
      </c>
      <c r="C260" s="71">
        <v>0</v>
      </c>
      <c r="D260" s="71">
        <v>0</v>
      </c>
      <c r="E260" s="71">
        <f aca="true" t="shared" si="13" ref="E260:E267">D260-C260</f>
        <v>0</v>
      </c>
    </row>
    <row r="261" spans="1:5" ht="12.75">
      <c r="A261" s="70">
        <v>6910</v>
      </c>
      <c r="B261" s="69" t="s">
        <v>188</v>
      </c>
      <c r="C261" s="71">
        <v>0</v>
      </c>
      <c r="D261" s="71">
        <v>-12348.13</v>
      </c>
      <c r="E261" s="71">
        <f t="shared" si="13"/>
        <v>-12348.13</v>
      </c>
    </row>
    <row r="262" spans="1:5" ht="12.75">
      <c r="A262" s="70">
        <v>6920</v>
      </c>
      <c r="B262" s="69" t="s">
        <v>189</v>
      </c>
      <c r="C262" s="71">
        <v>0</v>
      </c>
      <c r="D262" s="71">
        <v>-3861253.22</v>
      </c>
      <c r="E262" s="71">
        <f t="shared" si="13"/>
        <v>-3861253.22</v>
      </c>
    </row>
    <row r="263" spans="1:5" ht="12.75">
      <c r="A263" s="69"/>
      <c r="B263" s="96" t="s">
        <v>190</v>
      </c>
      <c r="C263" s="98">
        <f>+SUM(C260:C262)</f>
        <v>0</v>
      </c>
      <c r="D263" s="98">
        <f>+SUM(D260:D262)</f>
        <v>-3873601.35</v>
      </c>
      <c r="E263" s="98">
        <f t="shared" si="13"/>
        <v>-3873601.35</v>
      </c>
    </row>
    <row r="264" spans="1:5" ht="12.75">
      <c r="A264" s="69"/>
      <c r="B264" s="96" t="s">
        <v>191</v>
      </c>
      <c r="C264" s="98">
        <f>+SUM(C253:C256)+SUM(C260:C262)</f>
        <v>0</v>
      </c>
      <c r="D264" s="98">
        <f>+SUM(D253:D256)+SUM(D260:D262)</f>
        <v>-4378431.13</v>
      </c>
      <c r="E264" s="98">
        <f t="shared" si="13"/>
        <v>-4378431.13</v>
      </c>
    </row>
    <row r="265" spans="1:5" ht="12.75">
      <c r="A265" s="69"/>
      <c r="B265" s="96" t="s">
        <v>192</v>
      </c>
      <c r="C265" s="98">
        <f>+SUM(C6:C9)+SUM(C15:C21)+SUM(C25:C31)+SUM(C35:C44)+SUM(C48:C51)+SUM(C53:C55)+SUM(C58:C61)+SUM(C65:C74)+SUM(C78:C78)+SUM(C83:C84)+SUM(C87:C91)+SUM(C95:C98)+SUM(C102:C106)+SUM(C110:C112)+SUM(C116:C117)+SUM(C121:C124)+SUM(C133:C139)+SUM(C143:C146)+SUM(C150:C153)+SUM(C157:C159)+SUM(C163:C165)+SUM(C169:C172)+SUM(C176:C177)+SUM(C181:C182)+SUM(C236:C236)+SUM(C238:C238)+SUM(C242:C247)+SUM(C253:C256)+SUM(C260:C262)</f>
        <v>136933.16000000003</v>
      </c>
      <c r="D265" s="98">
        <f>+SUM(D6:D9)+SUM(D15:D21)+SUM(D25:D31)+SUM(D35:D44)+SUM(D48:D51)+SUM(D53:D55)+SUM(D58:D61)+SUM(D65:D74)+SUM(D78:D78)+SUM(D83:D84)+SUM(D87:D91)+SUM(D95:D98)+SUM(D102:D106)+SUM(D110:D112)+SUM(D116:D117)+SUM(D121:D124)+SUM(D133:D139)+SUM(D143:D146)+SUM(D150:D153)+SUM(D157:D159)+SUM(D163:D165)+SUM(D169:D172)+SUM(D176:D177)+SUM(D181:D182)+SUM(D236:D236)+SUM(D238:D238)+SUM(D242:D247)+SUM(D253:D256)+SUM(D260:D262)</f>
        <v>-10445245.1</v>
      </c>
      <c r="E265" s="98">
        <f t="shared" si="13"/>
        <v>-10582178.26</v>
      </c>
    </row>
    <row r="266" spans="1:5" ht="12.75">
      <c r="A266" s="70">
        <v>9900</v>
      </c>
      <c r="B266" s="69" t="s">
        <v>194</v>
      </c>
      <c r="C266" s="71">
        <v>0</v>
      </c>
      <c r="D266" s="71">
        <v>0</v>
      </c>
      <c r="E266" s="71">
        <f t="shared" si="13"/>
        <v>0</v>
      </c>
    </row>
    <row r="267" spans="1:5" ht="12.75">
      <c r="A267" s="69"/>
      <c r="B267" s="96" t="s">
        <v>195</v>
      </c>
      <c r="C267" s="98">
        <f>+SUM(C6:C9)+SUM(C15:C21)+SUM(C25:C31)+SUM(C35:C44)+SUM(C48:C51)+SUM(C53:C55)+SUM(C58:C61)+SUM(C65:C74)+SUM(C78:C78)+SUM(C83:C84)+SUM(C87:C91)+SUM(C95:C98)+SUM(C102:C106)+SUM(C110:C112)+SUM(C116:C117)+SUM(C121:C124)+SUM(C133:C139)+SUM(C143:C146)+SUM(C150:C153)+SUM(C157:C159)+SUM(C163:C165)+SUM(C169:C172)+SUM(C176:C177)+SUM(C181:C182)+SUM(C192:C195)+SUM(C199:C201)+SUM(C203:C203)+SUM(C209:C209)+SUM(C213:C222)+SUM(C226:C228)+SUM(C236:C236)+SUM(C238:C238)+SUM(C242:C247)+SUM(C253:C256)+SUM(C260:C262)+SUM(C266:C266)</f>
        <v>136933.16000000003</v>
      </c>
      <c r="D267" s="98">
        <f>+SUM(D6:D9)+SUM(D15:D21)+SUM(D25:D31)+SUM(D35:D44)+SUM(D48:D51)+SUM(D53:D55)+SUM(D58:D61)+SUM(D65:D74)+SUM(D78:D78)+SUM(D83:D84)+SUM(D87:D91)+SUM(D95:D98)+SUM(D102:D106)+SUM(D110:D112)+SUM(D116:D117)+SUM(D121:D124)+SUM(D133:D139)+SUM(D143:D146)+SUM(D150:D153)+SUM(D157:D159)+SUM(D163:D165)+SUM(D169:D172)+SUM(D176:D177)+SUM(D181:D182)+SUM(D192:D195)+SUM(D199:D201)+SUM(D203:D203)+SUM(D209:D209)+SUM(D213:D222)+SUM(D226:D228)+SUM(D236:D236)+SUM(D238:D238)+SUM(D242:D247)+SUM(D253:D256)+SUM(D260:D262)+SUM(D266:D266)</f>
        <v>-9.313225746154785E-10</v>
      </c>
      <c r="E267" s="98">
        <f t="shared" si="13"/>
        <v>-136933.16000000096</v>
      </c>
    </row>
  </sheetData>
  <sheetProtection/>
  <mergeCells count="1">
    <mergeCell ref="A1:Y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8.140625" style="0" bestFit="1" customWidth="1"/>
    <col min="2" max="2" width="11.140625" style="63" customWidth="1"/>
    <col min="3" max="3" width="13.28125" style="63" customWidth="1"/>
    <col min="4" max="4" width="34.8515625" style="0" bestFit="1" customWidth="1"/>
    <col min="5" max="5" width="14.57421875" style="64" customWidth="1"/>
    <col min="6" max="6" width="10.57421875" style="0" bestFit="1" customWidth="1"/>
    <col min="7" max="7" width="11.8515625" style="0" bestFit="1" customWidth="1"/>
    <col min="8" max="8" width="15.8515625" style="64" customWidth="1"/>
  </cols>
  <sheetData>
    <row r="1" spans="1:8" ht="14.25">
      <c r="A1" s="60" t="s">
        <v>21</v>
      </c>
      <c r="B1" s="61" t="s">
        <v>22</v>
      </c>
      <c r="C1" s="61" t="s">
        <v>23</v>
      </c>
      <c r="D1" s="60" t="s">
        <v>24</v>
      </c>
      <c r="E1" s="62" t="s">
        <v>25</v>
      </c>
      <c r="F1" s="60" t="s">
        <v>26</v>
      </c>
      <c r="G1" s="60" t="s">
        <v>27</v>
      </c>
      <c r="H1" s="62" t="s">
        <v>28</v>
      </c>
    </row>
    <row r="2" spans="1:8" ht="15">
      <c r="A2" s="94">
        <f>Saldobalance!A6</f>
        <v>1010</v>
      </c>
      <c r="B2" s="63">
        <f>'Regnskab og budget'!$F$2</f>
        <v>40909</v>
      </c>
      <c r="C2" s="63">
        <f>'Regnskab og budget'!$H$2</f>
        <v>41274</v>
      </c>
      <c r="D2" s="20" t="str">
        <f>'Regnskab og budget'!A7</f>
        <v>GEF ejerne</v>
      </c>
      <c r="E2" s="64">
        <f>'Regnskab og budget'!K7</f>
        <v>-762600</v>
      </c>
      <c r="F2">
        <v>1</v>
      </c>
      <c r="G2" t="s">
        <v>30</v>
      </c>
      <c r="H2" s="74">
        <v>0</v>
      </c>
    </row>
    <row r="3" spans="1:8" ht="15">
      <c r="A3" s="94">
        <f>Saldobalance!A7</f>
        <v>1020</v>
      </c>
      <c r="B3" s="63">
        <f>'Regnskab og budget'!$F$2</f>
        <v>40909</v>
      </c>
      <c r="C3" s="63">
        <f>'Regnskab og budget'!$H$2</f>
        <v>41274</v>
      </c>
      <c r="D3" s="20" t="str">
        <f>'Regnskab og budget'!A8</f>
        <v>GEF lejerne</v>
      </c>
      <c r="E3" s="64">
        <f>'Regnskab og budget'!K8</f>
        <v>-45756</v>
      </c>
      <c r="F3">
        <v>1</v>
      </c>
      <c r="G3" t="s">
        <v>30</v>
      </c>
      <c r="H3" s="74">
        <v>0</v>
      </c>
    </row>
    <row r="4" spans="1:8" ht="15">
      <c r="A4" s="94">
        <f>Saldobalance!A8</f>
        <v>1030</v>
      </c>
      <c r="B4" s="63">
        <f>'Regnskab og budget'!$F$2</f>
        <v>40909</v>
      </c>
      <c r="C4" s="63">
        <f>'Regnskab og budget'!$H$2</f>
        <v>41274</v>
      </c>
      <c r="D4" s="20" t="str">
        <f>'Regnskab og budget'!A9</f>
        <v>Rykkergebyr og bankrente</v>
      </c>
      <c r="E4" s="64">
        <f>'Regnskab og budget'!K9</f>
        <v>-4000</v>
      </c>
      <c r="F4">
        <v>1</v>
      </c>
      <c r="G4" t="s">
        <v>30</v>
      </c>
      <c r="H4" s="74">
        <v>0</v>
      </c>
    </row>
    <row r="5" spans="1:8" ht="15">
      <c r="A5" s="94">
        <f>Saldobalance!A9</f>
        <v>1040</v>
      </c>
      <c r="B5" s="63">
        <f>'Regnskab og budget'!$F$2</f>
        <v>40909</v>
      </c>
      <c r="C5" s="63">
        <f>'Regnskab og budget'!$H$2</f>
        <v>41274</v>
      </c>
      <c r="D5" s="20" t="str">
        <f>'Regnskab og budget'!A10</f>
        <v>Andre indtægter</v>
      </c>
      <c r="E5" s="64">
        <f>'Regnskab og budget'!K10</f>
        <v>0</v>
      </c>
      <c r="F5">
        <v>1</v>
      </c>
      <c r="G5" t="s">
        <v>30</v>
      </c>
      <c r="H5" s="74">
        <v>0</v>
      </c>
    </row>
    <row r="6" spans="1:8" ht="15">
      <c r="A6" s="94">
        <f>Saldobalance!A15</f>
        <v>1311</v>
      </c>
      <c r="B6" s="63">
        <f>'Regnskab og budget'!$F$2</f>
        <v>40909</v>
      </c>
      <c r="C6" s="63">
        <f>'Regnskab og budget'!$H$2</f>
        <v>41274</v>
      </c>
      <c r="D6" s="20" t="str">
        <f>'Regnskab og budget'!A19</f>
        <v>Rep maskine og anlæg</v>
      </c>
      <c r="E6" s="64">
        <f>'Regnskab og budget'!J19</f>
        <v>25000</v>
      </c>
      <c r="F6">
        <v>1</v>
      </c>
      <c r="H6" s="74">
        <v>0</v>
      </c>
    </row>
    <row r="7" spans="1:8" ht="15">
      <c r="A7" s="94">
        <f>Saldobalance!A16</f>
        <v>1312</v>
      </c>
      <c r="B7" s="63">
        <f>'Regnskab og budget'!$F$2</f>
        <v>40909</v>
      </c>
      <c r="C7" s="63">
        <f>'Regnskab og budget'!$H$2</f>
        <v>41274</v>
      </c>
      <c r="D7" s="20" t="str">
        <f>'Regnskab og budget'!A20</f>
        <v>Rep og service Gasfyr</v>
      </c>
      <c r="E7" s="64">
        <f>'Regnskab og budget'!J20</f>
        <v>20000</v>
      </c>
      <c r="F7">
        <v>1</v>
      </c>
      <c r="H7" s="74">
        <v>0</v>
      </c>
    </row>
    <row r="8" spans="1:8" ht="15">
      <c r="A8" s="94">
        <f>Saldobalance!A17</f>
        <v>1313</v>
      </c>
      <c r="B8" s="63">
        <f>'Regnskab og budget'!$F$2</f>
        <v>40909</v>
      </c>
      <c r="C8" s="63">
        <f>'Regnskab og budget'!$H$2</f>
        <v>41274</v>
      </c>
      <c r="D8" s="20" t="str">
        <f>'Regnskab og budget'!A21</f>
        <v>Rep. vaskeriet</v>
      </c>
      <c r="E8" s="64">
        <f>'Regnskab og budget'!J21</f>
        <v>2000</v>
      </c>
      <c r="F8">
        <v>1</v>
      </c>
      <c r="H8" s="74">
        <v>0</v>
      </c>
    </row>
    <row r="9" spans="1:8" ht="15">
      <c r="A9" s="94">
        <f>Saldobalance!A18</f>
        <v>1314</v>
      </c>
      <c r="B9" s="63">
        <f>'Regnskab og budget'!$F$2</f>
        <v>40909</v>
      </c>
      <c r="C9" s="63">
        <f>'Regnskab og budget'!$H$2</f>
        <v>41274</v>
      </c>
      <c r="D9" s="20" t="str">
        <f>'Regnskab og budget'!A22</f>
        <v>Indv. vedl. FÆ-hus</v>
      </c>
      <c r="E9" s="64">
        <f>'Regnskab og budget'!J22</f>
        <v>6000</v>
      </c>
      <c r="F9">
        <v>1</v>
      </c>
      <c r="H9" s="74">
        <v>0</v>
      </c>
    </row>
    <row r="10" spans="1:8" ht="15">
      <c r="A10" s="94">
        <f>Saldobalance!A19</f>
        <v>1315</v>
      </c>
      <c r="B10" s="63">
        <f>'Regnskab og budget'!$F$2</f>
        <v>40909</v>
      </c>
      <c r="C10" s="63">
        <f>'Regnskab og budget'!$H$2</f>
        <v>41274</v>
      </c>
      <c r="D10" s="20" t="str">
        <f>'Regnskab og budget'!A23</f>
        <v>Udv. vedl. FÆ-hus</v>
      </c>
      <c r="E10" s="64">
        <f>'Regnskab og budget'!J23</f>
        <v>6000</v>
      </c>
      <c r="F10">
        <v>1</v>
      </c>
      <c r="H10" s="74">
        <v>0</v>
      </c>
    </row>
    <row r="11" spans="1:8" ht="15">
      <c r="A11" s="94">
        <f>Saldobalance!A20</f>
        <v>1316</v>
      </c>
      <c r="B11" s="63">
        <f>'Regnskab og budget'!$F$2</f>
        <v>40909</v>
      </c>
      <c r="C11" s="63">
        <f>'Regnskab og budget'!$H$2</f>
        <v>41274</v>
      </c>
      <c r="D11" s="20" t="str">
        <f>'Regnskab og budget'!A24</f>
        <v>Vedl. fællesarealer</v>
      </c>
      <c r="E11" s="64">
        <f>'Regnskab og budget'!J24</f>
        <v>30000</v>
      </c>
      <c r="F11">
        <v>1</v>
      </c>
      <c r="H11" s="74">
        <v>0</v>
      </c>
    </row>
    <row r="12" spans="1:8" ht="15">
      <c r="A12" s="94">
        <f>Saldobalance!A21</f>
        <v>1317</v>
      </c>
      <c r="B12" s="63">
        <f>'Regnskab og budget'!$F$2</f>
        <v>40909</v>
      </c>
      <c r="C12" s="63">
        <f>'Regnskab og budget'!$H$2</f>
        <v>41274</v>
      </c>
      <c r="D12" s="20" t="str">
        <f>'Regnskab og budget'!A25</f>
        <v>Snerydning</v>
      </c>
      <c r="E12" s="64">
        <f>'Regnskab og budget'!J25</f>
        <v>21000</v>
      </c>
      <c r="F12">
        <v>1</v>
      </c>
      <c r="H12" s="74">
        <v>0</v>
      </c>
    </row>
    <row r="13" spans="1:8" ht="15">
      <c r="A13" s="94">
        <f>Saldobalance!A25</f>
        <v>1321</v>
      </c>
      <c r="B13" s="63">
        <f>'Regnskab og budget'!$F$2</f>
        <v>40909</v>
      </c>
      <c r="C13" s="63">
        <f>'Regnskab og budget'!$H$2</f>
        <v>41274</v>
      </c>
      <c r="D13" s="20" t="str">
        <f>'Regnskab og budget'!A28</f>
        <v>Inventar</v>
      </c>
      <c r="E13" s="64">
        <f>'Regnskab og budget'!J28</f>
        <v>1500</v>
      </c>
      <c r="F13">
        <v>1</v>
      </c>
      <c r="H13" s="74">
        <v>0</v>
      </c>
    </row>
    <row r="14" spans="1:8" ht="15">
      <c r="A14" s="94">
        <f>Saldobalance!A26</f>
        <v>1322</v>
      </c>
      <c r="B14" s="63">
        <f>'Regnskab og budget'!$F$2</f>
        <v>40909</v>
      </c>
      <c r="C14" s="63">
        <f>'Regnskab og budget'!$H$2</f>
        <v>41274</v>
      </c>
      <c r="D14" s="20" t="str">
        <f>'Regnskab og budget'!A29</f>
        <v>Køkkenudstyr</v>
      </c>
      <c r="E14" s="64">
        <f>'Regnskab og budget'!J29</f>
        <v>9000</v>
      </c>
      <c r="F14">
        <v>1</v>
      </c>
      <c r="H14" s="74">
        <v>0</v>
      </c>
    </row>
    <row r="15" spans="1:8" ht="15">
      <c r="A15" s="94">
        <f>Saldobalance!A27</f>
        <v>1323</v>
      </c>
      <c r="B15" s="63">
        <f>'Regnskab og budget'!$F$2</f>
        <v>40909</v>
      </c>
      <c r="C15" s="63">
        <f>'Regnskab og budget'!$H$2</f>
        <v>41274</v>
      </c>
      <c r="D15" s="20" t="str">
        <f>'Regnskab og budget'!A30</f>
        <v>EL-artik, pærer mv</v>
      </c>
      <c r="E15" s="64">
        <f>'Regnskab og budget'!J30</f>
        <v>2000</v>
      </c>
      <c r="F15">
        <v>1</v>
      </c>
      <c r="H15" s="74">
        <v>0</v>
      </c>
    </row>
    <row r="16" spans="1:8" ht="15">
      <c r="A16" s="94">
        <f>Saldobalance!A28</f>
        <v>1324</v>
      </c>
      <c r="B16" s="63">
        <f>'Regnskab og budget'!$F$2</f>
        <v>40909</v>
      </c>
      <c r="C16" s="63">
        <f>'Regnskab og budget'!$H$2</f>
        <v>41274</v>
      </c>
      <c r="D16" s="20" t="str">
        <f>'Regnskab og budget'!A31</f>
        <v>Rengøringsmidler/-artikler</v>
      </c>
      <c r="E16" s="64">
        <f>'Regnskab og budget'!J31</f>
        <v>18000</v>
      </c>
      <c r="F16">
        <v>1</v>
      </c>
      <c r="H16" s="74">
        <v>0</v>
      </c>
    </row>
    <row r="17" spans="1:8" ht="15">
      <c r="A17" s="94">
        <f>Saldobalance!A29</f>
        <v>1325</v>
      </c>
      <c r="B17" s="63">
        <f>'Regnskab og budget'!$F$2</f>
        <v>40909</v>
      </c>
      <c r="C17" s="63">
        <f>'Regnskab og budget'!$H$2</f>
        <v>41274</v>
      </c>
      <c r="D17" s="20" t="str">
        <f>'Regnskab og budget'!A32</f>
        <v>Papir, plast, lys, blomster</v>
      </c>
      <c r="E17" s="64">
        <f>'Regnskab og budget'!J32</f>
        <v>1200</v>
      </c>
      <c r="F17">
        <v>1</v>
      </c>
      <c r="H17" s="74">
        <v>0</v>
      </c>
    </row>
    <row r="18" spans="1:8" ht="15">
      <c r="A18" s="94">
        <f>Saldobalance!A30</f>
        <v>1326</v>
      </c>
      <c r="B18" s="63">
        <f>'Regnskab og budget'!$F$2</f>
        <v>40909</v>
      </c>
      <c r="C18" s="63">
        <f>'Regnskab og budget'!$H$2</f>
        <v>41274</v>
      </c>
      <c r="D18" s="20" t="str">
        <f>'Regnskab og budget'!A33</f>
        <v>Krydderier</v>
      </c>
      <c r="E18" s="64">
        <f>'Regnskab og budget'!J33</f>
        <v>2000</v>
      </c>
      <c r="F18">
        <v>1</v>
      </c>
      <c r="H18" s="74">
        <v>0</v>
      </c>
    </row>
    <row r="19" spans="1:8" ht="15">
      <c r="A19" s="94">
        <f>Saldobalance!A31</f>
        <v>1327</v>
      </c>
      <c r="B19" s="63">
        <f>'Regnskab og budget'!$F$2</f>
        <v>40909</v>
      </c>
      <c r="C19" s="63">
        <f>'Regnskab og budget'!$H$2</f>
        <v>41274</v>
      </c>
      <c r="D19" s="20" t="str">
        <f>'Regnskab og budget'!A34</f>
        <v>Diverse</v>
      </c>
      <c r="E19" s="64">
        <f>'Regnskab og budget'!J34</f>
        <v>2000</v>
      </c>
      <c r="F19">
        <v>1</v>
      </c>
      <c r="H19" s="74">
        <v>0</v>
      </c>
    </row>
    <row r="20" spans="1:8" ht="15">
      <c r="A20" s="94">
        <f>Saldobalance!A35</f>
        <v>1331</v>
      </c>
      <c r="B20" s="63">
        <f>'Regnskab og budget'!$F$2</f>
        <v>40909</v>
      </c>
      <c r="C20" s="63">
        <f>'Regnskab og budget'!$H$2</f>
        <v>41274</v>
      </c>
      <c r="D20" s="20" t="str">
        <f>'Regnskab og budget'!A37</f>
        <v>Gaver</v>
      </c>
      <c r="E20" s="64">
        <f>'Regnskab og budget'!J37</f>
        <v>6000</v>
      </c>
      <c r="F20">
        <v>1</v>
      </c>
      <c r="H20" s="74">
        <v>0</v>
      </c>
    </row>
    <row r="21" spans="1:8" ht="15">
      <c r="A21" s="94">
        <f>Saldobalance!A36</f>
        <v>1332</v>
      </c>
      <c r="B21" s="63">
        <f>'Regnskab og budget'!$F$2</f>
        <v>40909</v>
      </c>
      <c r="C21" s="63">
        <f>'Regnskab og budget'!$H$2</f>
        <v>41274</v>
      </c>
      <c r="D21" s="20" t="str">
        <f>'Regnskab og budget'!A38</f>
        <v>Fester/arrangementer</v>
      </c>
      <c r="E21" s="64">
        <f>'Regnskab og budget'!J38</f>
        <v>4000</v>
      </c>
      <c r="F21">
        <v>1</v>
      </c>
      <c r="H21" s="74">
        <v>0</v>
      </c>
    </row>
    <row r="22" spans="1:8" ht="15">
      <c r="A22" s="94">
        <f>Saldobalance!A37</f>
        <v>1333</v>
      </c>
      <c r="B22" s="63">
        <f>'Regnskab og budget'!$F$2</f>
        <v>40909</v>
      </c>
      <c r="C22" s="63">
        <f>'Regnskab og budget'!$H$2</f>
        <v>41274</v>
      </c>
      <c r="D22" s="20" t="str">
        <f>'Regnskab og budget'!A39</f>
        <v>Fortæring arbejdsweekends</v>
      </c>
      <c r="E22" s="64">
        <f>'Regnskab og budget'!J39</f>
        <v>8000</v>
      </c>
      <c r="F22">
        <v>1</v>
      </c>
      <c r="H22" s="74">
        <v>0</v>
      </c>
    </row>
    <row r="23" spans="1:8" ht="15">
      <c r="A23" s="94">
        <f>Saldobalance!A38</f>
        <v>1334</v>
      </c>
      <c r="B23" s="63">
        <f>'Regnskab og budget'!$F$2</f>
        <v>40909</v>
      </c>
      <c r="C23" s="63">
        <f>'Regnskab og budget'!$H$2</f>
        <v>41274</v>
      </c>
      <c r="D23" s="20" t="str">
        <f>'Regnskab og budget'!A40</f>
        <v>Fortæring generalforsamling</v>
      </c>
      <c r="E23" s="64">
        <f>'Regnskab og budget'!J40</f>
        <v>2000</v>
      </c>
      <c r="F23">
        <v>1</v>
      </c>
      <c r="H23" s="74">
        <v>0</v>
      </c>
    </row>
    <row r="24" spans="1:8" ht="15">
      <c r="A24" s="94">
        <f>Saldobalance!A39</f>
        <v>1335</v>
      </c>
      <c r="B24" s="63">
        <f>'Regnskab og budget'!$F$2</f>
        <v>40909</v>
      </c>
      <c r="C24" s="63">
        <f>'Regnskab og budget'!$H$2</f>
        <v>41274</v>
      </c>
      <c r="D24" s="20" t="str">
        <f>'Regnskab og budget'!A41</f>
        <v>Adventsarrangementer</v>
      </c>
      <c r="E24" s="64">
        <f>'Regnskab og budget'!J41</f>
        <v>4000</v>
      </c>
      <c r="F24">
        <v>1</v>
      </c>
      <c r="H24" s="74">
        <v>0</v>
      </c>
    </row>
    <row r="25" spans="1:8" ht="15">
      <c r="A25" s="94">
        <f>Saldobalance!A40</f>
        <v>1336</v>
      </c>
      <c r="B25" s="63">
        <f>'Regnskab og budget'!$F$2</f>
        <v>40909</v>
      </c>
      <c r="C25" s="63">
        <f>'Regnskab og budget'!$H$2</f>
        <v>41274</v>
      </c>
      <c r="D25" s="20" t="str">
        <f>'Regnskab og budget'!A42</f>
        <v>Fastelavn</v>
      </c>
      <c r="E25" s="64">
        <f>'Regnskab og budget'!J42</f>
        <v>2000</v>
      </c>
      <c r="F25">
        <v>1</v>
      </c>
      <c r="H25" s="74">
        <v>0</v>
      </c>
    </row>
    <row r="26" spans="1:8" ht="15">
      <c r="A26" s="94">
        <f>Saldobalance!A41</f>
        <v>1337</v>
      </c>
      <c r="B26" s="63">
        <f>'Regnskab og budget'!$F$2</f>
        <v>40909</v>
      </c>
      <c r="C26" s="63">
        <f>'Regnskab og budget'!$H$2</f>
        <v>41274</v>
      </c>
      <c r="D26" s="20" t="str">
        <f>'Regnskab og budget'!A43</f>
        <v>Cafemøder</v>
      </c>
      <c r="E26" s="64">
        <f>'Regnskab og budget'!J43</f>
        <v>1000</v>
      </c>
      <c r="F26">
        <v>1</v>
      </c>
      <c r="H26" s="74">
        <v>0</v>
      </c>
    </row>
    <row r="27" spans="1:8" ht="15">
      <c r="A27" s="94">
        <f>Saldobalance!A42</f>
        <v>1338</v>
      </c>
      <c r="B27" s="63">
        <f>'Regnskab og budget'!$F$2</f>
        <v>40909</v>
      </c>
      <c r="C27" s="63">
        <f>'Regnskab og budget'!$H$2</f>
        <v>41274</v>
      </c>
      <c r="D27" s="20" t="str">
        <f>'Regnskab og budget'!A44</f>
        <v>Bakkeweekend</v>
      </c>
      <c r="E27" s="64">
        <f>'Regnskab og budget'!J44</f>
        <v>25000</v>
      </c>
      <c r="F27">
        <v>1</v>
      </c>
      <c r="H27" s="74">
        <v>0</v>
      </c>
    </row>
    <row r="28" spans="1:8" ht="15">
      <c r="A28" s="94">
        <f>Saldobalance!A43</f>
        <v>1339</v>
      </c>
      <c r="B28" s="63">
        <f>'Regnskab og budget'!$F$2</f>
        <v>40909</v>
      </c>
      <c r="C28" s="63">
        <f>'Regnskab og budget'!$H$2</f>
        <v>41274</v>
      </c>
      <c r="D28" s="20" t="str">
        <f>'Regnskab og budget'!A45</f>
        <v>Skt. Hans</v>
      </c>
      <c r="E28" s="64">
        <f>'Regnskab og budget'!J45</f>
        <v>1000</v>
      </c>
      <c r="F28">
        <v>1</v>
      </c>
      <c r="H28" s="74">
        <v>0</v>
      </c>
    </row>
    <row r="29" spans="1:8" ht="15">
      <c r="A29" s="94">
        <f>Saldobalance!A44</f>
        <v>1340</v>
      </c>
      <c r="B29" s="63">
        <f>'Regnskab og budget'!$F$2</f>
        <v>40909</v>
      </c>
      <c r="C29" s="63">
        <f>'Regnskab og budget'!$H$2</f>
        <v>41274</v>
      </c>
      <c r="D29" s="20" t="str">
        <f>'Regnskab og budget'!A46</f>
        <v>Kultur</v>
      </c>
      <c r="E29" s="64">
        <f>'Regnskab og budget'!J46</f>
        <v>0</v>
      </c>
      <c r="F29">
        <v>1</v>
      </c>
      <c r="H29" s="74">
        <v>0</v>
      </c>
    </row>
    <row r="30" spans="1:8" ht="15">
      <c r="A30" s="94">
        <f>Saldobalance!A48</f>
        <v>1351</v>
      </c>
      <c r="B30" s="63">
        <f>'Regnskab og budget'!$F$2</f>
        <v>40909</v>
      </c>
      <c r="C30" s="63">
        <f>'Regnskab og budget'!$H$2</f>
        <v>41274</v>
      </c>
      <c r="D30" s="20" t="str">
        <f>'Regnskab og budget'!A49</f>
        <v>Telefon / bredbånd</v>
      </c>
      <c r="E30" s="64">
        <f>'Regnskab og budget'!J49</f>
        <v>4000</v>
      </c>
      <c r="F30">
        <v>1</v>
      </c>
      <c r="H30" s="74">
        <v>0</v>
      </c>
    </row>
    <row r="31" spans="1:8" ht="15">
      <c r="A31" s="94">
        <f>Saldobalance!A49</f>
        <v>1352</v>
      </c>
      <c r="B31" s="63">
        <f>'Regnskab og budget'!$F$2</f>
        <v>40909</v>
      </c>
      <c r="C31" s="63">
        <f>'Regnskab og budget'!$H$2</f>
        <v>41274</v>
      </c>
      <c r="D31" s="20" t="str">
        <f>'Regnskab og budget'!A50</f>
        <v>TV + licens</v>
      </c>
      <c r="E31" s="64">
        <f>'Regnskab og budget'!J50</f>
        <v>5000</v>
      </c>
      <c r="F31">
        <v>1</v>
      </c>
      <c r="H31" s="74">
        <v>0</v>
      </c>
    </row>
    <row r="32" spans="1:8" ht="15">
      <c r="A32" s="94">
        <f>Saldobalance!A50</f>
        <v>1353</v>
      </c>
      <c r="B32" s="63">
        <f>'Regnskab og budget'!$F$2</f>
        <v>40909</v>
      </c>
      <c r="C32" s="63">
        <f>'Regnskab og budget'!$H$2</f>
        <v>41274</v>
      </c>
      <c r="D32" s="20" t="str">
        <f>'Regnskab og budget'!A51</f>
        <v>Hjemmeside/e-mail</v>
      </c>
      <c r="E32" s="64">
        <f>'Regnskab og budget'!J51</f>
        <v>1000</v>
      </c>
      <c r="F32">
        <v>1</v>
      </c>
      <c r="H32" s="74">
        <v>0</v>
      </c>
    </row>
    <row r="33" spans="1:8" ht="15">
      <c r="A33" s="94">
        <f>Saldobalance!A51</f>
        <v>1355</v>
      </c>
      <c r="B33" s="63">
        <f>'Regnskab og budget'!$F$2</f>
        <v>40909</v>
      </c>
      <c r="C33" s="63">
        <f>'Regnskab og budget'!$H$2</f>
        <v>41274</v>
      </c>
      <c r="D33" s="20" t="str">
        <f>'Regnskab og budget'!A52</f>
        <v>Aviser og tidsskrifter</v>
      </c>
      <c r="E33" s="64">
        <f>'Regnskab og budget'!J52</f>
        <v>1000</v>
      </c>
      <c r="F33">
        <v>1</v>
      </c>
      <c r="H33" s="74">
        <v>0</v>
      </c>
    </row>
    <row r="34" spans="1:8" ht="15">
      <c r="A34" s="94">
        <f>Saldobalance!A53</f>
        <v>1360</v>
      </c>
      <c r="B34" s="63">
        <f>'Regnskab og budget'!$F$2</f>
        <v>40909</v>
      </c>
      <c r="C34" s="63">
        <f>'Regnskab og budget'!$H$2</f>
        <v>41274</v>
      </c>
      <c r="D34" s="20" t="str">
        <f>'Regnskab og budget'!A54</f>
        <v>Anlægsarbejder</v>
      </c>
      <c r="E34" s="64">
        <f>'Regnskab og budget'!K54</f>
        <v>60000</v>
      </c>
      <c r="F34">
        <v>1</v>
      </c>
      <c r="H34" s="74">
        <v>0</v>
      </c>
    </row>
    <row r="35" spans="1:8" ht="15">
      <c r="A35" s="94">
        <f>Saldobalance!A54</f>
        <v>1370</v>
      </c>
      <c r="B35" s="63">
        <f>'Regnskab og budget'!$F$2</f>
        <v>40909</v>
      </c>
      <c r="C35" s="63">
        <f>'Regnskab og budget'!$H$2</f>
        <v>41274</v>
      </c>
      <c r="D35" s="20" t="str">
        <f>'Regnskab og budget'!A56</f>
        <v>Nyanskaffelse</v>
      </c>
      <c r="E35" s="64">
        <f>'Regnskab og budget'!K56</f>
        <v>15000</v>
      </c>
      <c r="F35">
        <v>1</v>
      </c>
      <c r="H35" s="74">
        <v>0</v>
      </c>
    </row>
    <row r="36" spans="1:8" ht="15">
      <c r="A36" s="94">
        <f>Saldobalance!A55</f>
        <v>1375</v>
      </c>
      <c r="B36" s="63">
        <f>'Regnskab og budget'!$F$2</f>
        <v>40909</v>
      </c>
      <c r="C36" s="63">
        <f>'Regnskab og budget'!$H$2</f>
        <v>41274</v>
      </c>
      <c r="D36" s="20" t="str">
        <f>'Regnskab og budget'!A58</f>
        <v>Markedsføring</v>
      </c>
      <c r="E36" s="64">
        <f>'Regnskab og budget'!K58</f>
        <v>15000</v>
      </c>
      <c r="F36">
        <v>1</v>
      </c>
      <c r="H36" s="74">
        <v>0</v>
      </c>
    </row>
    <row r="37" spans="1:8" ht="15">
      <c r="A37" s="94">
        <f>Saldobalance!A58</f>
        <v>1382</v>
      </c>
      <c r="B37" s="63">
        <f>'Regnskab og budget'!$F$2</f>
        <v>40909</v>
      </c>
      <c r="C37" s="63">
        <f>'Regnskab og budget'!$H$2</f>
        <v>41274</v>
      </c>
      <c r="D37" s="20" t="str">
        <f>'Regnskab og budget'!A61</f>
        <v>Salg af fåreprodukter</v>
      </c>
      <c r="E37" s="64">
        <f>'Regnskab og budget'!K61</f>
        <v>-27000</v>
      </c>
      <c r="F37">
        <v>1</v>
      </c>
      <c r="G37" t="s">
        <v>30</v>
      </c>
      <c r="H37" s="74">
        <v>0</v>
      </c>
    </row>
    <row r="38" spans="1:8" ht="15">
      <c r="A38" s="94">
        <f>Saldobalance!A59</f>
        <v>1384</v>
      </c>
      <c r="B38" s="63">
        <f>'Regnskab og budget'!$F$2</f>
        <v>40909</v>
      </c>
      <c r="C38" s="63">
        <f>'Regnskab og budget'!$H$2</f>
        <v>41274</v>
      </c>
      <c r="D38" s="20" t="str">
        <f>'Regnskab og budget'!A62</f>
        <v>Løbende udgifter/får</v>
      </c>
      <c r="E38" s="64">
        <f>'Regnskab og budget'!J62</f>
        <v>26000</v>
      </c>
      <c r="F38">
        <v>1</v>
      </c>
      <c r="H38" s="74">
        <v>0</v>
      </c>
    </row>
    <row r="39" spans="1:8" ht="15">
      <c r="A39" s="94">
        <f>Saldobalance!A60</f>
        <v>1392</v>
      </c>
      <c r="B39" s="63">
        <f>'Regnskab og budget'!$F$2</f>
        <v>40909</v>
      </c>
      <c r="C39" s="63">
        <f>'Regnskab og budget'!$H$2</f>
        <v>41274</v>
      </c>
      <c r="D39" s="20" t="str">
        <f>'Regnskab og budget'!A63</f>
        <v>Engangsudgifter/får</v>
      </c>
      <c r="E39" s="64">
        <f>'Regnskab og budget'!J63</f>
        <v>4000</v>
      </c>
      <c r="F39">
        <v>1</v>
      </c>
      <c r="H39" s="74">
        <v>0</v>
      </c>
    </row>
    <row r="40" spans="1:8" ht="15">
      <c r="A40" s="94">
        <f>Saldobalance!A61</f>
        <v>1397</v>
      </c>
      <c r="B40" s="63">
        <f>'Regnskab og budget'!$F$2</f>
        <v>40909</v>
      </c>
      <c r="C40" s="63">
        <f>'Regnskab og budget'!$H$2</f>
        <v>41274</v>
      </c>
      <c r="D40" s="20" t="str">
        <f>'Regnskab og budget'!A64</f>
        <v>Årets udvikling/får</v>
      </c>
      <c r="E40" s="64">
        <f>'Regnskab og budget'!J64</f>
        <v>5000</v>
      </c>
      <c r="F40">
        <v>1</v>
      </c>
      <c r="H40" s="74">
        <v>0</v>
      </c>
    </row>
    <row r="41" spans="1:8" ht="15">
      <c r="A41" s="94">
        <f>Saldobalance!A65</f>
        <v>1410</v>
      </c>
      <c r="B41" s="63">
        <f>'Regnskab og budget'!$F$2</f>
        <v>40909</v>
      </c>
      <c r="C41" s="63">
        <f>'Regnskab og budget'!$H$2</f>
        <v>41274</v>
      </c>
      <c r="D41" s="20" t="str">
        <f>'Regnskab og budget'!A67</f>
        <v>Huslejeopkrævet</v>
      </c>
      <c r="E41" s="64">
        <f>-'Regnskab og budget'!K67</f>
        <v>135360</v>
      </c>
      <c r="F41">
        <v>1</v>
      </c>
      <c r="G41" t="s">
        <v>30</v>
      </c>
      <c r="H41" s="74">
        <v>0</v>
      </c>
    </row>
    <row r="42" spans="1:8" ht="15">
      <c r="A42" s="94">
        <f>Saldobalance!A66</f>
        <v>1420</v>
      </c>
      <c r="B42" s="63">
        <f>'Regnskab og budget'!$F$2</f>
        <v>40909</v>
      </c>
      <c r="C42" s="63">
        <f>'Regnskab og budget'!$H$2</f>
        <v>41274</v>
      </c>
      <c r="D42" s="20" t="str">
        <f>Saldobalance!B66</f>
        <v>Ikke længere i brug</v>
      </c>
      <c r="E42" s="64">
        <v>0</v>
      </c>
      <c r="F42">
        <v>1</v>
      </c>
      <c r="G42" t="s">
        <v>30</v>
      </c>
      <c r="H42" s="74">
        <v>0</v>
      </c>
    </row>
    <row r="43" spans="1:8" ht="15">
      <c r="A43" s="94">
        <f>Saldobalance!A67</f>
        <v>1425</v>
      </c>
      <c r="B43" s="63">
        <f>'Regnskab og budget'!$F$2</f>
        <v>40909</v>
      </c>
      <c r="C43" s="63">
        <f>'Regnskab og budget'!$H$2</f>
        <v>41274</v>
      </c>
      <c r="D43" s="20" t="str">
        <f>'Regnskab og budget'!A68</f>
        <v>EL opkrævet</v>
      </c>
      <c r="E43" s="64">
        <f>-'Regnskab og budget'!K68</f>
        <v>10000</v>
      </c>
      <c r="F43">
        <v>1</v>
      </c>
      <c r="G43" t="s">
        <v>97</v>
      </c>
      <c r="H43" s="74">
        <v>0</v>
      </c>
    </row>
    <row r="44" spans="1:8" ht="15">
      <c r="A44" s="94">
        <f>Saldobalance!A68</f>
        <v>1427</v>
      </c>
      <c r="B44" s="63">
        <f>'Regnskab og budget'!$F$2</f>
        <v>40909</v>
      </c>
      <c r="C44" s="63">
        <f>'Regnskab og budget'!$H$2</f>
        <v>41274</v>
      </c>
      <c r="D44" s="20" t="str">
        <f>'Regnskab og budget'!A69</f>
        <v>DONG - EL</v>
      </c>
      <c r="E44" s="64">
        <f>'Regnskab og budget'!J69</f>
        <v>10000</v>
      </c>
      <c r="F44">
        <v>1</v>
      </c>
      <c r="H44" s="74">
        <v>0</v>
      </c>
    </row>
    <row r="45" spans="1:8" ht="15">
      <c r="A45" s="94">
        <f>Saldobalance!A69</f>
        <v>1430</v>
      </c>
      <c r="B45" s="63">
        <f>'Regnskab og budget'!$F$2</f>
        <v>40909</v>
      </c>
      <c r="C45" s="63">
        <f>'Regnskab og budget'!$H$2</f>
        <v>41274</v>
      </c>
      <c r="D45" s="20" t="str">
        <f>'Regnskab og budget'!A70</f>
        <v>GEF</v>
      </c>
      <c r="E45" s="64">
        <f>'Regnskab og budget'!J70</f>
        <v>45756</v>
      </c>
      <c r="F45">
        <v>1</v>
      </c>
      <c r="H45" s="74">
        <v>0</v>
      </c>
    </row>
    <row r="46" spans="1:8" ht="15">
      <c r="A46" s="94">
        <f>Saldobalance!A70</f>
        <v>1440</v>
      </c>
      <c r="B46" s="63">
        <f>'Regnskab og budget'!$F$2</f>
        <v>40909</v>
      </c>
      <c r="C46" s="63">
        <f>'Regnskab og budget'!$H$2</f>
        <v>41274</v>
      </c>
      <c r="D46" s="20" t="str">
        <f>'Regnskab og budget'!A71</f>
        <v>Renovation</v>
      </c>
      <c r="E46" s="64">
        <f>'Regnskab og budget'!J71</f>
        <v>4107</v>
      </c>
      <c r="F46">
        <v>1</v>
      </c>
      <c r="H46" s="74">
        <v>0</v>
      </c>
    </row>
    <row r="47" spans="1:8" ht="15">
      <c r="A47" s="94">
        <f>Saldobalance!A71</f>
        <v>1450</v>
      </c>
      <c r="B47" s="63">
        <f>'Regnskab og budget'!$F$2</f>
        <v>40909</v>
      </c>
      <c r="C47" s="63">
        <f>'Regnskab og budget'!$H$2</f>
        <v>41274</v>
      </c>
      <c r="D47" s="20" t="str">
        <f>'Regnskab og budget'!A72</f>
        <v>Ejendomsskat</v>
      </c>
      <c r="E47" s="64">
        <f>'Regnskab og budget'!J72</f>
        <v>38389.05</v>
      </c>
      <c r="F47">
        <v>1</v>
      </c>
      <c r="H47" s="74">
        <v>0</v>
      </c>
    </row>
    <row r="48" spans="1:8" ht="15">
      <c r="A48" s="94">
        <f>Saldobalance!A72</f>
        <v>1460</v>
      </c>
      <c r="B48" s="63">
        <f>'Regnskab og budget'!$F$2</f>
        <v>40909</v>
      </c>
      <c r="C48" s="63">
        <f>'Regnskab og budget'!$H$2</f>
        <v>41274</v>
      </c>
      <c r="D48" s="20" t="str">
        <f>'Regnskab og budget'!A73</f>
        <v>Forsikringer - 4.318.305.792</v>
      </c>
      <c r="E48" s="64">
        <f>'Regnskab og budget'!J73</f>
        <v>9000</v>
      </c>
      <c r="F48">
        <v>1</v>
      </c>
      <c r="H48" s="74">
        <v>0</v>
      </c>
    </row>
    <row r="49" spans="1:8" ht="15">
      <c r="A49" s="94">
        <f>Saldobalance!A73</f>
        <v>1470</v>
      </c>
      <c r="B49" s="63">
        <f>'Regnskab og budget'!$F$2</f>
        <v>40909</v>
      </c>
      <c r="C49" s="63">
        <f>'Regnskab og budget'!$H$2</f>
        <v>41274</v>
      </c>
      <c r="D49" s="20" t="str">
        <f>'Regnskab og budget'!A74</f>
        <v>Udv. Vedligehold Gården</v>
      </c>
      <c r="E49" s="64">
        <f>'Regnskab og budget'!J74</f>
        <v>12000</v>
      </c>
      <c r="F49">
        <v>1</v>
      </c>
      <c r="H49" s="74">
        <v>0</v>
      </c>
    </row>
    <row r="50" spans="1:8" ht="15">
      <c r="A50" s="94">
        <f>Saldobalance!A74</f>
        <v>1480</v>
      </c>
      <c r="B50" s="63">
        <f>'Regnskab og budget'!$F$2</f>
        <v>40909</v>
      </c>
      <c r="C50" s="63">
        <f>'Regnskab og budget'!$H$2</f>
        <v>41274</v>
      </c>
      <c r="D50" s="20" t="str">
        <f>'Regnskab og budget'!A75</f>
        <v>Indv. Vedligehold Gården</v>
      </c>
      <c r="E50" s="64">
        <f>'Regnskab og budget'!J75</f>
        <v>15000</v>
      </c>
      <c r="F50">
        <v>1</v>
      </c>
      <c r="H50" s="74">
        <v>0</v>
      </c>
    </row>
    <row r="51" spans="1:8" ht="15">
      <c r="A51" s="94">
        <f>Saldobalance!A78</f>
        <v>1997</v>
      </c>
      <c r="B51" s="63">
        <f>'Regnskab og budget'!$F$2</f>
        <v>40909</v>
      </c>
      <c r="C51" s="63">
        <f>'Regnskab og budget'!$H$2</f>
        <v>41274</v>
      </c>
      <c r="D51" s="20" t="str">
        <f>'Regnskab og budget'!A77</f>
        <v>Diverse variable udgifter</v>
      </c>
      <c r="E51" s="64">
        <f>'Regnskab og budget'!J77</f>
        <v>0</v>
      </c>
      <c r="F51">
        <v>1</v>
      </c>
      <c r="H51" s="74">
        <v>0</v>
      </c>
    </row>
    <row r="52" spans="1:8" ht="15">
      <c r="A52" s="94">
        <f>Saldobalance!A83</f>
        <v>2210</v>
      </c>
      <c r="B52" s="63">
        <f>'Regnskab og budget'!$F$2</f>
        <v>40909</v>
      </c>
      <c r="C52" s="63">
        <f>'Regnskab og budget'!$H$2</f>
        <v>41274</v>
      </c>
      <c r="D52" s="20" t="str">
        <f>'Regnskab og budget'!A85</f>
        <v>Ejendomsskat</v>
      </c>
      <c r="E52" s="64">
        <f>'Regnskab og budget'!J85</f>
        <v>0</v>
      </c>
      <c r="F52">
        <v>1</v>
      </c>
      <c r="H52" s="74">
        <v>0</v>
      </c>
    </row>
    <row r="53" spans="1:8" ht="15">
      <c r="A53" s="94">
        <f>Saldobalance!A84</f>
        <v>2220</v>
      </c>
      <c r="B53" s="63">
        <f>'Regnskab og budget'!$F$2</f>
        <v>40909</v>
      </c>
      <c r="C53" s="63">
        <f>'Regnskab og budget'!$H$2</f>
        <v>41274</v>
      </c>
      <c r="D53" s="20" t="str">
        <f>'Regnskab og budget'!A87</f>
        <v>Forsikringer</v>
      </c>
      <c r="E53" s="64">
        <f>'Regnskab og budget'!J87</f>
        <v>0</v>
      </c>
      <c r="F53">
        <v>1</v>
      </c>
      <c r="H53" s="74">
        <v>0</v>
      </c>
    </row>
    <row r="54" spans="1:8" ht="15">
      <c r="A54" s="94">
        <f>Saldobalance!A87</f>
        <v>2231</v>
      </c>
      <c r="B54" s="63">
        <f>'Regnskab og budget'!$F$2</f>
        <v>40909</v>
      </c>
      <c r="C54" s="63">
        <f>'Regnskab og budget'!$H$2</f>
        <v>41274</v>
      </c>
      <c r="D54" s="20" t="str">
        <f>'Regnskab og budget'!A90</f>
        <v>KD, 7AV - Stuehuset + Østlængen</v>
      </c>
      <c r="E54" s="64">
        <f>'Regnskab og budget'!J90</f>
        <v>38326</v>
      </c>
      <c r="F54">
        <v>1</v>
      </c>
      <c r="H54" s="74">
        <v>0</v>
      </c>
    </row>
    <row r="55" spans="1:8" ht="15">
      <c r="A55" s="94">
        <f>Saldobalance!A88</f>
        <v>2232</v>
      </c>
      <c r="B55" s="63">
        <f>'Regnskab og budget'!$F$2</f>
        <v>40909</v>
      </c>
      <c r="C55" s="63">
        <f>'Regnskab og budget'!$H$2</f>
        <v>41274</v>
      </c>
      <c r="D55" s="20" t="str">
        <f>'Regnskab og budget'!A91</f>
        <v>Finansbanken, Komfur &amp; Ovn - 1234291</v>
      </c>
      <c r="E55" s="64">
        <f>'Regnskab og budget'!J91</f>
        <v>22000</v>
      </c>
      <c r="F55">
        <v>1</v>
      </c>
      <c r="H55" s="74">
        <v>0</v>
      </c>
    </row>
    <row r="56" spans="1:8" ht="15">
      <c r="A56" s="94">
        <f>Saldobalance!A89</f>
        <v>2233</v>
      </c>
      <c r="B56" s="63">
        <f>'Regnskab og budget'!$F$2</f>
        <v>40909</v>
      </c>
      <c r="C56" s="63">
        <f>'Regnskab og budget'!$H$2</f>
        <v>41274</v>
      </c>
      <c r="D56" s="20" t="str">
        <f>'Regnskab og budget'!A92</f>
        <v>Finansbanken, Fyrudskiftning - 1234045</v>
      </c>
      <c r="E56" s="64">
        <f>'Regnskab og budget'!J92</f>
        <v>181635</v>
      </c>
      <c r="F56">
        <v>1</v>
      </c>
      <c r="H56" s="74">
        <v>0</v>
      </c>
    </row>
    <row r="57" spans="1:8" ht="15">
      <c r="A57" s="94">
        <f>Saldobalance!A90</f>
        <v>2234</v>
      </c>
      <c r="B57" s="63">
        <f>'Regnskab og budget'!$F$2</f>
        <v>40909</v>
      </c>
      <c r="C57" s="63">
        <f>'Regnskab og budget'!$H$2</f>
        <v>41274</v>
      </c>
      <c r="D57" s="20" t="str">
        <f>'Regnskab og budget'!A93</f>
        <v>Finansbanken, Tørretumbler - 1328083</v>
      </c>
      <c r="E57" s="64">
        <f>'Regnskab og budget'!J93</f>
        <v>16500</v>
      </c>
      <c r="F57">
        <v>1</v>
      </c>
      <c r="H57" s="74">
        <v>0</v>
      </c>
    </row>
    <row r="58" spans="1:8" ht="15">
      <c r="A58" s="94">
        <f>Saldobalance!A91</f>
        <v>2235</v>
      </c>
      <c r="B58" s="63">
        <f>'Regnskab og budget'!$F$2</f>
        <v>40909</v>
      </c>
      <c r="C58" s="63">
        <f>'Regnskab og budget'!$H$2</f>
        <v>41274</v>
      </c>
      <c r="D58" s="20" t="str">
        <f>'Regnskab og budget'!A94</f>
        <v>Vaskemaskiner, 2011</v>
      </c>
      <c r="E58" s="64">
        <f>'Regnskab og budget'!J94</f>
        <v>7000</v>
      </c>
      <c r="F58">
        <v>1</v>
      </c>
      <c r="H58" s="74">
        <v>0</v>
      </c>
    </row>
    <row r="59" spans="1:8" ht="15">
      <c r="A59" s="94">
        <f>Saldobalance!A95</f>
        <v>2251</v>
      </c>
      <c r="B59" s="63">
        <f>'Regnskab og budget'!$F$2</f>
        <v>40909</v>
      </c>
      <c r="C59" s="63">
        <f>'Regnskab og budget'!$H$2</f>
        <v>41274</v>
      </c>
      <c r="D59" s="20" t="str">
        <f>'Regnskab og budget'!A97</f>
        <v>Finansbanken</v>
      </c>
      <c r="E59" s="64">
        <f>'Regnskab og budget'!J97</f>
        <v>0</v>
      </c>
      <c r="F59">
        <v>1</v>
      </c>
      <c r="H59" s="74">
        <v>0</v>
      </c>
    </row>
    <row r="60" spans="1:8" ht="15">
      <c r="A60" s="94">
        <f>Saldobalance!A98</f>
        <v>2258</v>
      </c>
      <c r="B60" s="63">
        <f>'Regnskab og budget'!$F$2</f>
        <v>40909</v>
      </c>
      <c r="C60" s="63">
        <f>'Regnskab og budget'!$H$2</f>
        <v>41274</v>
      </c>
      <c r="D60" s="20" t="str">
        <f>'Regnskab og budget'!A100</f>
        <v>Andre renter og gebyrer</v>
      </c>
      <c r="E60" s="64">
        <f>'Regnskab og budget'!J100</f>
        <v>0</v>
      </c>
      <c r="F60">
        <v>1</v>
      </c>
      <c r="H60" s="74">
        <v>0</v>
      </c>
    </row>
    <row r="61" spans="1:8" ht="15">
      <c r="A61" s="94">
        <f>Saldobalance!A102</f>
        <v>2261</v>
      </c>
      <c r="B61" s="63">
        <f>'Regnskab og budget'!$F$2</f>
        <v>40909</v>
      </c>
      <c r="C61" s="63">
        <f>'Regnskab og budget'!$H$2</f>
        <v>41274</v>
      </c>
      <c r="D61" s="20" t="str">
        <f>'Regnskab og budget'!A103</f>
        <v>Renovation</v>
      </c>
      <c r="E61" s="64">
        <f>'Regnskab og budget'!J103</f>
        <v>12900</v>
      </c>
      <c r="F61">
        <v>1</v>
      </c>
      <c r="H61" s="74">
        <v>0</v>
      </c>
    </row>
    <row r="62" spans="1:8" ht="15">
      <c r="A62">
        <v>2262</v>
      </c>
      <c r="B62" s="63">
        <f>'Regnskab og budget'!$F$2</f>
        <v>40909</v>
      </c>
      <c r="C62" s="63">
        <f>'Regnskab og budget'!$H$2</f>
        <v>41274</v>
      </c>
      <c r="D62" s="20" t="str">
        <f>'Regnskab og budget'!A104</f>
        <v>EL</v>
      </c>
      <c r="E62" s="64">
        <f>'Regnskab og budget'!J104</f>
        <v>63200</v>
      </c>
      <c r="F62">
        <v>1</v>
      </c>
      <c r="H62" s="74">
        <v>0</v>
      </c>
    </row>
    <row r="63" spans="1:8" ht="15">
      <c r="A63">
        <v>2262</v>
      </c>
      <c r="B63" s="63">
        <f>'Regnskab og budget'!$F$2</f>
        <v>40909</v>
      </c>
      <c r="C63" s="63">
        <f>'Regnskab og budget'!$H$2</f>
        <v>41274</v>
      </c>
      <c r="D63" s="20" t="str">
        <f>'Regnskab og budget'!A105</f>
        <v>Varme / gas</v>
      </c>
      <c r="E63" s="64">
        <f>'Regnskab og budget'!J105</f>
        <v>48000</v>
      </c>
      <c r="F63">
        <v>1</v>
      </c>
      <c r="H63" s="74">
        <v>0</v>
      </c>
    </row>
    <row r="64" spans="1:8" ht="15">
      <c r="A64">
        <v>2262</v>
      </c>
      <c r="B64" s="63">
        <f>'Regnskab og budget'!$F$2</f>
        <v>40909</v>
      </c>
      <c r="C64" s="63">
        <f>'Regnskab og budget'!$H$2</f>
        <v>41274</v>
      </c>
      <c r="D64" s="20" t="str">
        <f>'Regnskab og budget'!A106</f>
        <v>Vand</v>
      </c>
      <c r="E64" s="64">
        <f>'Regnskab og budget'!J106</f>
        <v>33000</v>
      </c>
      <c r="F64">
        <v>1</v>
      </c>
      <c r="H64" s="74">
        <v>0</v>
      </c>
    </row>
    <row r="65" spans="1:8" ht="15">
      <c r="A65">
        <v>2262</v>
      </c>
      <c r="B65" s="63">
        <f>'Regnskab og budget'!$F$2</f>
        <v>40909</v>
      </c>
      <c r="C65" s="63">
        <f>'Regnskab og budget'!$H$2</f>
        <v>41274</v>
      </c>
      <c r="D65" s="20" t="str">
        <f>'Regnskab og budget'!A107</f>
        <v>Vask</v>
      </c>
      <c r="E65" s="64">
        <f>'Regnskab og budget'!J107</f>
        <v>3000</v>
      </c>
      <c r="F65">
        <v>1</v>
      </c>
      <c r="H65" s="74">
        <v>0</v>
      </c>
    </row>
    <row r="66" spans="1:8" ht="15">
      <c r="A66" s="94">
        <f>Saldobalance!A110</f>
        <v>2271</v>
      </c>
      <c r="B66" s="63">
        <f>'Regnskab og budget'!$F$2</f>
        <v>40909</v>
      </c>
      <c r="C66" s="63">
        <f>'Regnskab og budget'!$H$2</f>
        <v>41274</v>
      </c>
      <c r="D66" s="20" t="str">
        <f>'Regnskab og budget'!A110</f>
        <v>Drift af bestyrelsen</v>
      </c>
      <c r="E66" s="64">
        <f>'Regnskab og budget'!J110</f>
        <v>3500</v>
      </c>
      <c r="F66">
        <v>1</v>
      </c>
      <c r="H66" s="74">
        <v>0</v>
      </c>
    </row>
    <row r="67" spans="1:8" ht="15">
      <c r="A67" s="94">
        <f>Saldobalance!A111</f>
        <v>2272</v>
      </c>
      <c r="B67" s="63">
        <f>'Regnskab og budget'!$F$2</f>
        <v>40909</v>
      </c>
      <c r="C67" s="63">
        <f>'Regnskab og budget'!$H$2</f>
        <v>41274</v>
      </c>
      <c r="D67" s="20" t="str">
        <f>'Regnskab og budget'!A111</f>
        <v>Kontorartikler og Porto</v>
      </c>
      <c r="E67" s="64">
        <f>'Regnskab og budget'!J111</f>
        <v>1000</v>
      </c>
      <c r="F67">
        <v>1</v>
      </c>
      <c r="H67" s="74">
        <v>0</v>
      </c>
    </row>
    <row r="68" spans="1:8" ht="15">
      <c r="A68" s="94">
        <f>Saldobalance!A112</f>
        <v>2273</v>
      </c>
      <c r="B68" s="63">
        <f>'Regnskab og budget'!$F$2</f>
        <v>40909</v>
      </c>
      <c r="C68" s="63">
        <f>'Regnskab og budget'!$H$2</f>
        <v>41274</v>
      </c>
      <c r="D68" s="20" t="str">
        <f>'Regnskab og budget'!A112</f>
        <v>Økonomisystem</v>
      </c>
      <c r="E68" s="64">
        <f>'Regnskab og budget'!J112</f>
        <v>4500</v>
      </c>
      <c r="F68">
        <v>1</v>
      </c>
      <c r="H68" s="74">
        <v>0</v>
      </c>
    </row>
    <row r="69" spans="1:8" ht="15">
      <c r="A69" s="94">
        <f>Saldobalance!A116</f>
        <v>2282</v>
      </c>
      <c r="B69" s="63">
        <f>'Regnskab og budget'!$F$2</f>
        <v>40909</v>
      </c>
      <c r="C69" s="63">
        <f>'Regnskab og budget'!$H$2</f>
        <v>41274</v>
      </c>
      <c r="D69" s="20" t="str">
        <f>'Regnskab og budget'!A115</f>
        <v>GEF-regnskab</v>
      </c>
      <c r="E69" s="64">
        <f>'Regnskab og budget'!J115</f>
        <v>30000</v>
      </c>
      <c r="F69">
        <v>1</v>
      </c>
      <c r="H69" s="74">
        <v>0</v>
      </c>
    </row>
    <row r="70" spans="1:8" ht="15">
      <c r="A70" s="94">
        <f>Saldobalance!A117</f>
        <v>2284</v>
      </c>
      <c r="B70" s="63">
        <f>'Regnskab og budget'!$F$2</f>
        <v>40909</v>
      </c>
      <c r="C70" s="63">
        <f>'Regnskab og budget'!$H$2</f>
        <v>41274</v>
      </c>
      <c r="D70" s="20" t="str">
        <f>'Regnskab og budget'!A116</f>
        <v>IS-regnskab</v>
      </c>
      <c r="E70" s="64">
        <f>'Regnskab og budget'!J116</f>
        <v>8000</v>
      </c>
      <c r="F70">
        <v>1</v>
      </c>
      <c r="H70" s="74">
        <v>0</v>
      </c>
    </row>
    <row r="71" spans="1:8" ht="15">
      <c r="A71" s="94">
        <f>Saldobalance!A121</f>
        <v>2292</v>
      </c>
      <c r="B71" s="63">
        <f>'Regnskab og budget'!$F$2</f>
        <v>40909</v>
      </c>
      <c r="C71" s="63">
        <f>'Regnskab og budget'!$H$2</f>
        <v>41274</v>
      </c>
      <c r="D71" s="20" t="str">
        <f>'Regnskab og budget'!A119</f>
        <v>Tab på Bofæller</v>
      </c>
      <c r="E71" s="64">
        <f>'Regnskab og budget'!J119</f>
        <v>0</v>
      </c>
      <c r="F71">
        <v>1</v>
      </c>
      <c r="H71" s="74">
        <v>0</v>
      </c>
    </row>
    <row r="72" spans="1:8" ht="15">
      <c r="A72" s="94">
        <f>Saldobalance!A122</f>
        <v>2293</v>
      </c>
      <c r="B72" s="63">
        <f>'Regnskab og budget'!$F$2</f>
        <v>40909</v>
      </c>
      <c r="C72" s="63">
        <f>'Regnskab og budget'!$H$2</f>
        <v>41274</v>
      </c>
      <c r="D72" s="20" t="str">
        <f>'Regnskab og budget'!A120</f>
        <v>Øredifferencer</v>
      </c>
      <c r="E72" s="64">
        <f>'Regnskab og budget'!J120</f>
        <v>0</v>
      </c>
      <c r="F72">
        <v>1</v>
      </c>
      <c r="H72" s="74">
        <v>0</v>
      </c>
    </row>
    <row r="73" spans="1:8" ht="15">
      <c r="A73" s="94">
        <f>Saldobalance!A123</f>
        <v>2294</v>
      </c>
      <c r="B73" s="63">
        <f>'Regnskab og budget'!$F$2</f>
        <v>40909</v>
      </c>
      <c r="C73" s="63">
        <f>'Regnskab og budget'!$H$2</f>
        <v>41274</v>
      </c>
      <c r="D73" s="20" t="str">
        <f>'Regnskab og budget'!A121</f>
        <v>Afrundingsfejl på Sol-projekt</v>
      </c>
      <c r="E73" s="64">
        <f>'Regnskab og budget'!J121</f>
        <v>122</v>
      </c>
      <c r="F73">
        <v>1</v>
      </c>
      <c r="H73" s="74">
        <v>0</v>
      </c>
    </row>
    <row r="74" spans="1:8" ht="15">
      <c r="A74" s="94">
        <f>Saldobalance!A124</f>
        <v>2295</v>
      </c>
      <c r="B74" s="63">
        <f>'Regnskab og budget'!$F$2</f>
        <v>40909</v>
      </c>
      <c r="C74" s="63">
        <f>'Regnskab og budget'!$H$2</f>
        <v>41274</v>
      </c>
      <c r="D74" s="20" t="str">
        <f>'Regnskab og budget'!A122</f>
        <v>Diverse omkostninger</v>
      </c>
      <c r="E74" s="64">
        <f>'Regnskab og budget'!J122</f>
        <v>4000</v>
      </c>
      <c r="F74">
        <v>1</v>
      </c>
      <c r="H74" s="74">
        <v>0</v>
      </c>
    </row>
    <row r="75" spans="1:8" ht="15">
      <c r="A75" s="94">
        <f>Saldobalance!A133</f>
        <v>3110</v>
      </c>
      <c r="B75" s="63">
        <f>'Regnskab og budget'!$F$2</f>
        <v>40909</v>
      </c>
      <c r="C75" s="63">
        <f>'Regnskab og budget'!$H$2</f>
        <v>41274</v>
      </c>
      <c r="D75" s="20" t="str">
        <f>'Regnskab og budget'!A139</f>
        <v>Vask opkrævet</v>
      </c>
      <c r="E75" s="64" t="e">
        <f>-'Regnskab og budget'!#REF!</f>
        <v>#REF!</v>
      </c>
      <c r="F75">
        <v>1</v>
      </c>
      <c r="G75" t="s">
        <v>30</v>
      </c>
      <c r="H75" s="74">
        <v>0</v>
      </c>
    </row>
    <row r="76" spans="1:8" ht="15">
      <c r="A76" s="94">
        <f>Saldobalance!A134</f>
        <v>3120</v>
      </c>
      <c r="B76" s="63">
        <f>'Regnskab og budget'!$F$2</f>
        <v>40909</v>
      </c>
      <c r="C76" s="63">
        <f>'Regnskab og budget'!$H$2</f>
        <v>41274</v>
      </c>
      <c r="D76" s="20" t="str">
        <f>'Regnskab og budget'!A140</f>
        <v>Vask Fælleshuset</v>
      </c>
      <c r="E76" s="64" t="e">
        <f>-'Regnskab og budget'!#REF!</f>
        <v>#REF!</v>
      </c>
      <c r="F76">
        <v>1</v>
      </c>
      <c r="G76" t="s">
        <v>30</v>
      </c>
      <c r="H76" s="74">
        <v>0</v>
      </c>
    </row>
    <row r="77" spans="1:8" ht="15">
      <c r="A77" s="94">
        <f>Saldobalance!A135</f>
        <v>3140</v>
      </c>
      <c r="B77" s="63">
        <f>'Regnskab og budget'!$F$2</f>
        <v>40909</v>
      </c>
      <c r="C77" s="63">
        <f>'Regnskab og budget'!$H$2</f>
        <v>41274</v>
      </c>
      <c r="D77" s="20" t="str">
        <f>'Regnskab og budget'!A141</f>
        <v>Vaskemidler</v>
      </c>
      <c r="E77" s="64" t="e">
        <f>'Regnskab og budget'!#REF!</f>
        <v>#REF!</v>
      </c>
      <c r="F77">
        <v>1</v>
      </c>
      <c r="H77" s="74">
        <v>0</v>
      </c>
    </row>
    <row r="78" spans="1:8" ht="15">
      <c r="A78" s="94">
        <f>Saldobalance!A136</f>
        <v>3150</v>
      </c>
      <c r="B78" s="63">
        <f>'Regnskab og budget'!$F$2</f>
        <v>40909</v>
      </c>
      <c r="C78" s="63">
        <f>'Regnskab og budget'!$H$2</f>
        <v>41274</v>
      </c>
      <c r="D78" s="20" t="str">
        <f>'Regnskab og budget'!A142</f>
        <v>EL</v>
      </c>
      <c r="E78" s="64" t="e">
        <f>'Regnskab og budget'!#REF!</f>
        <v>#REF!</v>
      </c>
      <c r="F78">
        <v>1</v>
      </c>
      <c r="H78" s="74">
        <v>0</v>
      </c>
    </row>
    <row r="79" spans="1:8" ht="15">
      <c r="A79" s="94">
        <f>Saldobalance!A137</f>
        <v>3160</v>
      </c>
      <c r="B79" s="63">
        <f>'Regnskab og budget'!$F$2</f>
        <v>40909</v>
      </c>
      <c r="C79" s="63">
        <f>'Regnskab og budget'!$H$2</f>
        <v>41274</v>
      </c>
      <c r="D79" s="20" t="str">
        <f>'Regnskab og budget'!A143</f>
        <v>Gas</v>
      </c>
      <c r="E79" s="64" t="e">
        <f>'Regnskab og budget'!#REF!</f>
        <v>#REF!</v>
      </c>
      <c r="F79">
        <v>1</v>
      </c>
      <c r="H79" s="74">
        <v>0</v>
      </c>
    </row>
    <row r="80" spans="1:8" ht="15">
      <c r="A80" s="94">
        <f>Saldobalance!A138</f>
        <v>3170</v>
      </c>
      <c r="B80" s="63">
        <f>'Regnskab og budget'!$F$2</f>
        <v>40909</v>
      </c>
      <c r="C80" s="63">
        <f>'Regnskab og budget'!$H$2</f>
        <v>41274</v>
      </c>
      <c r="D80" s="20" t="str">
        <f>'Regnskab og budget'!A144</f>
        <v>Vand</v>
      </c>
      <c r="E80" s="64" t="e">
        <f>'Regnskab og budget'!#REF!</f>
        <v>#REF!</v>
      </c>
      <c r="F80">
        <v>1</v>
      </c>
      <c r="H80" s="74">
        <v>0</v>
      </c>
    </row>
    <row r="81" spans="1:8" ht="15">
      <c r="A81" s="94">
        <f>Saldobalance!A139</f>
        <v>3180</v>
      </c>
      <c r="B81" s="63">
        <f>'Regnskab og budget'!$F$2</f>
        <v>40909</v>
      </c>
      <c r="C81" s="63">
        <f>'Regnskab og budget'!$H$2</f>
        <v>41274</v>
      </c>
      <c r="D81" s="20" t="str">
        <f>'Regnskab og budget'!A145</f>
        <v>Salttabletter</v>
      </c>
      <c r="E81" s="64" t="e">
        <f>'Regnskab og budget'!#REF!</f>
        <v>#REF!</v>
      </c>
      <c r="F81">
        <v>1</v>
      </c>
      <c r="H81" s="74">
        <v>0</v>
      </c>
    </row>
    <row r="82" spans="1:8" ht="15">
      <c r="A82" s="94">
        <f>Saldobalance!A143</f>
        <v>3210</v>
      </c>
      <c r="B82" s="63">
        <f>'Regnskab og budget'!$F$2</f>
        <v>40909</v>
      </c>
      <c r="C82" s="63">
        <f>'Regnskab og budget'!$H$2</f>
        <v>41274</v>
      </c>
      <c r="D82" s="20" t="str">
        <f>'Regnskab og budget'!A152</f>
        <v>Vand opkrævet</v>
      </c>
      <c r="E82" s="64" t="e">
        <f>-'Regnskab og budget'!#REF!</f>
        <v>#REF!</v>
      </c>
      <c r="F82">
        <v>1</v>
      </c>
      <c r="G82" t="s">
        <v>30</v>
      </c>
      <c r="H82" s="74">
        <v>0</v>
      </c>
    </row>
    <row r="83" spans="1:8" ht="15">
      <c r="A83" s="94">
        <f>Saldobalance!A144</f>
        <v>3220</v>
      </c>
      <c r="B83" s="63">
        <f>'Regnskab og budget'!$F$2</f>
        <v>40909</v>
      </c>
      <c r="C83" s="63">
        <f>'Regnskab og budget'!$H$2</f>
        <v>41274</v>
      </c>
      <c r="D83" s="20" t="str">
        <f>'Regnskab og budget'!A153</f>
        <v>Vand Fælleshuset</v>
      </c>
      <c r="E83" s="64" t="e">
        <f>-'Regnskab og budget'!#REF!</f>
        <v>#REF!</v>
      </c>
      <c r="F83">
        <v>1</v>
      </c>
      <c r="G83" t="s">
        <v>30</v>
      </c>
      <c r="H83" s="74">
        <v>0</v>
      </c>
    </row>
    <row r="84" spans="1:8" ht="15">
      <c r="A84" s="94">
        <f>Saldobalance!A145</f>
        <v>3230</v>
      </c>
      <c r="B84" s="63">
        <f>'Regnskab og budget'!$F$2</f>
        <v>40909</v>
      </c>
      <c r="C84" s="63">
        <f>'Regnskab og budget'!$H$2</f>
        <v>41274</v>
      </c>
      <c r="D84" s="20" t="str">
        <f>'Regnskab og budget'!A154</f>
        <v>Vand vaskeriet</v>
      </c>
      <c r="E84" s="64" t="e">
        <f>-'Regnskab og budget'!#REF!</f>
        <v>#REF!</v>
      </c>
      <c r="F84">
        <v>1</v>
      </c>
      <c r="G84" t="s">
        <v>30</v>
      </c>
      <c r="H84" s="74">
        <v>0</v>
      </c>
    </row>
    <row r="85" spans="1:8" ht="15">
      <c r="A85" s="94">
        <f>Saldobalance!A146</f>
        <v>3240</v>
      </c>
      <c r="B85" s="63">
        <f>'Regnskab og budget'!$F$2</f>
        <v>40909</v>
      </c>
      <c r="C85" s="63">
        <f>'Regnskab og budget'!$H$2</f>
        <v>41274</v>
      </c>
      <c r="D85" s="20" t="str">
        <f>'Regnskab og budget'!A155</f>
        <v>Vand Fredensborg Forsyning</v>
      </c>
      <c r="E85" s="64" t="e">
        <f>'Regnskab og budget'!#REF!</f>
        <v>#REF!</v>
      </c>
      <c r="F85">
        <v>1</v>
      </c>
      <c r="H85" s="74">
        <v>0</v>
      </c>
    </row>
    <row r="86" spans="1:8" ht="15">
      <c r="A86" s="94">
        <f>Saldobalance!A150</f>
        <v>3310</v>
      </c>
      <c r="B86" s="63">
        <f>'Regnskab og budget'!$F$2</f>
        <v>40909</v>
      </c>
      <c r="C86" s="63">
        <f>'Regnskab og budget'!$H$2</f>
        <v>41274</v>
      </c>
      <c r="D86" s="20" t="str">
        <f>'Regnskab og budget'!A162</f>
        <v>Varme opkrævet</v>
      </c>
      <c r="E86" s="64" t="e">
        <f>-'Regnskab og budget'!#REF!</f>
        <v>#REF!</v>
      </c>
      <c r="F86">
        <v>1</v>
      </c>
      <c r="G86" t="s">
        <v>30</v>
      </c>
      <c r="H86" s="74">
        <v>0</v>
      </c>
    </row>
    <row r="87" spans="1:8" ht="15">
      <c r="A87" s="94">
        <f>Saldobalance!A151</f>
        <v>3320</v>
      </c>
      <c r="B87" s="63">
        <f>'Regnskab og budget'!$F$2</f>
        <v>40909</v>
      </c>
      <c r="C87" s="63">
        <f>'Regnskab og budget'!$H$2</f>
        <v>41274</v>
      </c>
      <c r="D87" s="20" t="str">
        <f>'Regnskab og budget'!A163</f>
        <v>Varme Fælleshuset</v>
      </c>
      <c r="E87" s="64" t="e">
        <f>-'Regnskab og budget'!#REF!</f>
        <v>#REF!</v>
      </c>
      <c r="F87">
        <v>1</v>
      </c>
      <c r="G87" t="s">
        <v>30</v>
      </c>
      <c r="H87" s="74">
        <v>0</v>
      </c>
    </row>
    <row r="88" spans="1:8" ht="15">
      <c r="A88" s="94">
        <f>Saldobalance!A152</f>
        <v>3330</v>
      </c>
      <c r="B88" s="63">
        <f>'Regnskab og budget'!$F$2</f>
        <v>40909</v>
      </c>
      <c r="C88" s="63">
        <f>'Regnskab og budget'!$H$2</f>
        <v>41274</v>
      </c>
      <c r="D88" s="20" t="str">
        <f>'Regnskab og budget'!A164</f>
        <v>Gas vaskeriet</v>
      </c>
      <c r="E88" s="64" t="e">
        <f>-'Regnskab og budget'!#REF!</f>
        <v>#REF!</v>
      </c>
      <c r="F88">
        <v>1</v>
      </c>
      <c r="G88" t="s">
        <v>30</v>
      </c>
      <c r="H88" s="74">
        <v>0</v>
      </c>
    </row>
    <row r="89" spans="1:8" ht="15">
      <c r="A89" s="94">
        <f>Saldobalance!A153</f>
        <v>3340</v>
      </c>
      <c r="B89" s="63">
        <f>'Regnskab og budget'!$F$2</f>
        <v>40909</v>
      </c>
      <c r="C89" s="63">
        <f>'Regnskab og budget'!$H$2</f>
        <v>41274</v>
      </c>
      <c r="D89" s="20" t="str">
        <f>'Regnskab og budget'!A165</f>
        <v>HNG</v>
      </c>
      <c r="E89" s="64" t="e">
        <f>'Regnskab og budget'!#REF!</f>
        <v>#REF!</v>
      </c>
      <c r="F89">
        <v>1</v>
      </c>
      <c r="H89" s="74">
        <v>0</v>
      </c>
    </row>
    <row r="90" spans="1:8" ht="15">
      <c r="A90" s="94">
        <f>Saldobalance!A157</f>
        <v>3410</v>
      </c>
      <c r="B90" s="63">
        <f>'Regnskab og budget'!$F$2</f>
        <v>40909</v>
      </c>
      <c r="C90" s="63">
        <f>'Regnskab og budget'!$H$2</f>
        <v>41274</v>
      </c>
      <c r="D90" s="20" t="str">
        <f>'Regnskab og budget'!A172</f>
        <v>Renovation opkrævet</v>
      </c>
      <c r="E90" s="64" t="e">
        <f>-'Regnskab og budget'!#REF!</f>
        <v>#REF!</v>
      </c>
      <c r="F90">
        <v>1</v>
      </c>
      <c r="G90" t="s">
        <v>30</v>
      </c>
      <c r="H90" s="74">
        <v>0</v>
      </c>
    </row>
    <row r="91" spans="1:8" ht="15">
      <c r="A91" s="94">
        <f>Saldobalance!A158</f>
        <v>3420</v>
      </c>
      <c r="B91" s="63">
        <f>'Regnskab og budget'!$F$2</f>
        <v>40909</v>
      </c>
      <c r="C91" s="63">
        <f>'Regnskab og budget'!$H$2</f>
        <v>41274</v>
      </c>
      <c r="D91" s="20" t="str">
        <f>'Regnskab og budget'!A173</f>
        <v>Renovation Fælleshuset</v>
      </c>
      <c r="E91" s="64" t="e">
        <f>-'Regnskab og budget'!#REF!</f>
        <v>#REF!</v>
      </c>
      <c r="F91">
        <v>1</v>
      </c>
      <c r="G91" t="s">
        <v>30</v>
      </c>
      <c r="H91" s="74">
        <v>0</v>
      </c>
    </row>
    <row r="92" spans="1:11" ht="15">
      <c r="A92" s="94">
        <f>Saldobalance!A159</f>
        <v>3430</v>
      </c>
      <c r="B92" s="63">
        <f>'Regnskab og budget'!$F$2</f>
        <v>40909</v>
      </c>
      <c r="C92" s="63">
        <f>'Regnskab og budget'!$H$2</f>
        <v>41274</v>
      </c>
      <c r="D92" s="20" t="str">
        <f>'Regnskab og budget'!A174</f>
        <v>Renovation Fredensborg Forsyning</v>
      </c>
      <c r="E92" s="64" t="e">
        <f>'Regnskab og budget'!#REF!</f>
        <v>#REF!</v>
      </c>
      <c r="F92">
        <v>1</v>
      </c>
      <c r="H92" s="74">
        <v>0</v>
      </c>
      <c r="K92" s="64"/>
    </row>
    <row r="93" spans="1:8" ht="15">
      <c r="A93" s="94">
        <f>Saldobalance!A163</f>
        <v>3510</v>
      </c>
      <c r="B93" s="63">
        <f>'Regnskab og budget'!$F$2</f>
        <v>40909</v>
      </c>
      <c r="C93" s="63">
        <f>'Regnskab og budget'!$H$2</f>
        <v>41274</v>
      </c>
      <c r="D93" s="20" t="str">
        <f>'Regnskab og budget'!A181</f>
        <v>TV opkrævet</v>
      </c>
      <c r="E93" s="64" t="e">
        <f>-'Regnskab og budget'!#REF!</f>
        <v>#REF!</v>
      </c>
      <c r="F93">
        <v>1</v>
      </c>
      <c r="G93" t="s">
        <v>30</v>
      </c>
      <c r="H93" s="74">
        <v>0</v>
      </c>
    </row>
    <row r="94" spans="1:8" ht="15">
      <c r="A94" s="94">
        <f>Saldobalance!A164</f>
        <v>3520</v>
      </c>
      <c r="B94" s="63">
        <f>'Regnskab og budget'!$F$2</f>
        <v>40909</v>
      </c>
      <c r="C94" s="63">
        <f>'Regnskab og budget'!$H$2</f>
        <v>41274</v>
      </c>
      <c r="D94" s="20" t="str">
        <f>'Regnskab og budget'!A182</f>
        <v>TV Fælleshuset</v>
      </c>
      <c r="E94" s="64" t="e">
        <f>-'Regnskab og budget'!#REF!</f>
        <v>#REF!</v>
      </c>
      <c r="F94">
        <v>1</v>
      </c>
      <c r="G94" t="s">
        <v>30</v>
      </c>
      <c r="H94" s="74">
        <v>0</v>
      </c>
    </row>
    <row r="95" spans="1:8" ht="15">
      <c r="A95" s="94">
        <f>Saldobalance!A165</f>
        <v>3530</v>
      </c>
      <c r="B95" s="63">
        <f>'Regnskab og budget'!$F$2</f>
        <v>40909</v>
      </c>
      <c r="C95" s="63">
        <f>'Regnskab og budget'!$H$2</f>
        <v>41274</v>
      </c>
      <c r="D95" s="20" t="str">
        <f>'Regnskab og budget'!A183</f>
        <v>YouSee og andre</v>
      </c>
      <c r="E95" s="64" t="e">
        <f>'Regnskab og budget'!#REF!</f>
        <v>#REF!</v>
      </c>
      <c r="F95">
        <v>1</v>
      </c>
      <c r="H95" s="74">
        <v>0</v>
      </c>
    </row>
    <row r="96" spans="1:8" ht="15">
      <c r="A96" s="94">
        <f>Saldobalance!A169</f>
        <v>3610</v>
      </c>
      <c r="B96" s="63">
        <f>'Regnskab og budget'!$F$2</f>
        <v>40909</v>
      </c>
      <c r="C96" s="63">
        <f>'Regnskab og budget'!$H$2</f>
        <v>41274</v>
      </c>
      <c r="D96" s="20" t="str">
        <f>'Regnskab og budget'!A190</f>
        <v>Øl opkrævet</v>
      </c>
      <c r="E96" s="64" t="e">
        <f>-'Regnskab og budget'!#REF!</f>
        <v>#REF!</v>
      </c>
      <c r="F96">
        <v>1</v>
      </c>
      <c r="G96" t="s">
        <v>30</v>
      </c>
      <c r="H96" s="74">
        <v>0</v>
      </c>
    </row>
    <row r="97" spans="1:8" ht="15">
      <c r="A97" s="94">
        <f>Saldobalance!A170</f>
        <v>3620</v>
      </c>
      <c r="B97" s="63">
        <f>'Regnskab og budget'!$F$2</f>
        <v>40909</v>
      </c>
      <c r="C97" s="63">
        <f>'Regnskab og budget'!$H$2</f>
        <v>41274</v>
      </c>
      <c r="D97" s="20" t="str">
        <f>'Regnskab og budget'!A191</f>
        <v>Øl Fælleshuset</v>
      </c>
      <c r="E97" s="64" t="e">
        <f>-'Regnskab og budget'!#REF!</f>
        <v>#REF!</v>
      </c>
      <c r="F97">
        <v>1</v>
      </c>
      <c r="G97" t="s">
        <v>30</v>
      </c>
      <c r="H97" s="74">
        <v>0</v>
      </c>
    </row>
    <row r="98" spans="1:8" ht="15">
      <c r="A98" s="94">
        <f>Saldobalance!A171</f>
        <v>3625</v>
      </c>
      <c r="B98" s="63">
        <f>'Regnskab og budget'!$F$2</f>
        <v>40909</v>
      </c>
      <c r="C98" s="63">
        <f>'Regnskab og budget'!$H$2</f>
        <v>41274</v>
      </c>
      <c r="D98" s="20" t="str">
        <f>'Regnskab og budget'!A192</f>
        <v>Regulering af lagerbeholdning</v>
      </c>
      <c r="E98" s="64" t="e">
        <f>-'Regnskab og budget'!#REF!</f>
        <v>#REF!</v>
      </c>
      <c r="F98">
        <v>1</v>
      </c>
      <c r="H98" s="74">
        <v>1</v>
      </c>
    </row>
    <row r="99" spans="1:8" ht="15">
      <c r="A99" s="94">
        <f>Saldobalance!A172</f>
        <v>3630</v>
      </c>
      <c r="B99" s="63">
        <f>'Regnskab og budget'!$F$2</f>
        <v>40909</v>
      </c>
      <c r="C99" s="63">
        <f>'Regnskab og budget'!$H$2</f>
        <v>41274</v>
      </c>
      <c r="D99" s="20" t="str">
        <f>'Regnskab og budget'!A193</f>
        <v>Tuborg og andre</v>
      </c>
      <c r="E99" s="64" t="e">
        <f>'Regnskab og budget'!#REF!</f>
        <v>#REF!</v>
      </c>
      <c r="F99">
        <v>1</v>
      </c>
      <c r="H99" s="74">
        <v>0</v>
      </c>
    </row>
    <row r="100" spans="1:8" ht="15">
      <c r="A100" s="94">
        <f>Saldobalance!A176</f>
        <v>3710</v>
      </c>
      <c r="B100" s="63">
        <f>'Regnskab og budget'!$F$2</f>
        <v>40909</v>
      </c>
      <c r="C100" s="63">
        <f>'Regnskab og budget'!$H$2</f>
        <v>41274</v>
      </c>
      <c r="D100" s="20" t="str">
        <f>'Regnskab og budget'!A200</f>
        <v>Mælk opkrævet</v>
      </c>
      <c r="E100" s="64" t="e">
        <f>-'Regnskab og budget'!#REF!</f>
        <v>#REF!</v>
      </c>
      <c r="F100">
        <v>1</v>
      </c>
      <c r="G100" t="s">
        <v>30</v>
      </c>
      <c r="H100" s="74">
        <v>0</v>
      </c>
    </row>
    <row r="101" spans="1:8" ht="15">
      <c r="A101" s="94">
        <f>Saldobalance!A177</f>
        <v>3720</v>
      </c>
      <c r="B101" s="63">
        <f>'Regnskab og budget'!$F$2</f>
        <v>40909</v>
      </c>
      <c r="C101" s="63">
        <f>'Regnskab og budget'!$H$2</f>
        <v>41274</v>
      </c>
      <c r="D101" s="20" t="str">
        <f>'Regnskab og budget'!A201</f>
        <v>Øllingegård</v>
      </c>
      <c r="E101" s="64" t="e">
        <f>'Regnskab og budget'!#REF!</f>
        <v>#REF!</v>
      </c>
      <c r="F101">
        <v>1</v>
      </c>
      <c r="H101" s="74">
        <v>0</v>
      </c>
    </row>
  </sheetData>
  <sheetProtection/>
  <protectedRanges>
    <protectedRange sqref="H2:H101" name="Omr?de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5"/>
  <sheetViews>
    <sheetView zoomScalePageLayoutView="0" workbookViewId="0" topLeftCell="A1">
      <selection activeCell="C1" sqref="C1:D16384"/>
    </sheetView>
  </sheetViews>
  <sheetFormatPr defaultColWidth="9.140625" defaultRowHeight="12.75"/>
  <cols>
    <col min="1" max="1" width="8.140625" style="0" bestFit="1" customWidth="1"/>
    <col min="2" max="2" width="34.8515625" style="0" bestFit="1" customWidth="1"/>
    <col min="3" max="3" width="10.57421875" style="0" bestFit="1" customWidth="1"/>
    <col min="4" max="4" width="20.140625" style="0" bestFit="1" customWidth="1"/>
    <col min="5" max="5" width="11.00390625" style="0" bestFit="1" customWidth="1"/>
    <col min="6" max="6" width="11.8515625" style="0" bestFit="1" customWidth="1"/>
    <col min="7" max="7" width="10.28125" style="0" bestFit="1" customWidth="1"/>
    <col min="8" max="8" width="16.57421875" style="0" bestFit="1" customWidth="1"/>
    <col min="9" max="9" width="8.57421875" style="0" bestFit="1" customWidth="1"/>
    <col min="10" max="10" width="15.28125" style="0" bestFit="1" customWidth="1"/>
    <col min="11" max="12" width="6.57421875" style="0" bestFit="1" customWidth="1"/>
    <col min="13" max="13" width="16.421875" style="0" bestFit="1" customWidth="1"/>
  </cols>
  <sheetData>
    <row r="1" spans="1:13" ht="14.25">
      <c r="A1" s="60" t="s">
        <v>21</v>
      </c>
      <c r="B1" s="60" t="s">
        <v>101</v>
      </c>
      <c r="C1" s="60" t="s">
        <v>26</v>
      </c>
      <c r="D1" s="60" t="s">
        <v>102</v>
      </c>
      <c r="E1" s="60" t="s">
        <v>103</v>
      </c>
      <c r="F1" s="60" t="s">
        <v>27</v>
      </c>
      <c r="G1" s="60" t="s">
        <v>104</v>
      </c>
      <c r="H1" s="60" t="s">
        <v>105</v>
      </c>
      <c r="I1" s="60" t="s">
        <v>106</v>
      </c>
      <c r="J1" s="60" t="s">
        <v>107</v>
      </c>
      <c r="K1" s="60" t="s">
        <v>108</v>
      </c>
      <c r="L1" s="60" t="s">
        <v>109</v>
      </c>
      <c r="M1" s="60" t="s">
        <v>110</v>
      </c>
    </row>
    <row r="2" spans="1:3" ht="15">
      <c r="A2" s="80">
        <v>1000</v>
      </c>
      <c r="B2" s="81" t="s">
        <v>111</v>
      </c>
      <c r="C2">
        <v>5</v>
      </c>
    </row>
    <row r="3" spans="1:3" ht="15">
      <c r="A3" s="80">
        <v>1001</v>
      </c>
      <c r="B3" s="81" t="s">
        <v>196</v>
      </c>
      <c r="C3">
        <v>4</v>
      </c>
    </row>
    <row r="4" spans="1:6" ht="15">
      <c r="A4" s="82">
        <v>1010</v>
      </c>
      <c r="B4" s="83" t="s">
        <v>29</v>
      </c>
      <c r="C4">
        <v>1</v>
      </c>
      <c r="F4" t="s">
        <v>30</v>
      </c>
    </row>
    <row r="5" spans="1:6" ht="15">
      <c r="A5" s="82">
        <v>1020</v>
      </c>
      <c r="B5" s="83" t="s">
        <v>31</v>
      </c>
      <c r="C5">
        <v>1</v>
      </c>
      <c r="F5" t="s">
        <v>30</v>
      </c>
    </row>
    <row r="6" spans="1:6" ht="15">
      <c r="A6" s="82">
        <v>1030</v>
      </c>
      <c r="B6" s="83" t="s">
        <v>5</v>
      </c>
      <c r="C6">
        <v>1</v>
      </c>
      <c r="F6" t="s">
        <v>30</v>
      </c>
    </row>
    <row r="7" spans="1:6" ht="15">
      <c r="A7" s="82">
        <v>1040</v>
      </c>
      <c r="B7" s="83" t="s">
        <v>7</v>
      </c>
      <c r="C7">
        <v>1</v>
      </c>
      <c r="F7" t="s">
        <v>30</v>
      </c>
    </row>
    <row r="8" spans="1:4" ht="15">
      <c r="A8" s="84">
        <v>1099</v>
      </c>
      <c r="B8" s="85" t="s">
        <v>112</v>
      </c>
      <c r="C8">
        <v>6</v>
      </c>
      <c r="D8" t="s">
        <v>113</v>
      </c>
    </row>
    <row r="9" spans="1:6" ht="15">
      <c r="A9" s="80">
        <v>1300</v>
      </c>
      <c r="B9" s="81" t="s">
        <v>114</v>
      </c>
      <c r="C9">
        <v>4</v>
      </c>
      <c r="F9" t="s">
        <v>115</v>
      </c>
    </row>
    <row r="10" spans="1:6" ht="15">
      <c r="A10" s="80">
        <v>1310</v>
      </c>
      <c r="B10" s="81" t="s">
        <v>116</v>
      </c>
      <c r="C10">
        <v>4</v>
      </c>
      <c r="F10" t="s">
        <v>115</v>
      </c>
    </row>
    <row r="11" spans="1:6" ht="15">
      <c r="A11" s="82">
        <v>1311</v>
      </c>
      <c r="B11" s="83" t="s">
        <v>32</v>
      </c>
      <c r="C11">
        <v>1</v>
      </c>
      <c r="F11" t="s">
        <v>115</v>
      </c>
    </row>
    <row r="12" spans="1:6" ht="15">
      <c r="A12" s="82">
        <v>1312</v>
      </c>
      <c r="B12" s="83" t="s">
        <v>33</v>
      </c>
      <c r="C12">
        <v>1</v>
      </c>
      <c r="F12" t="s">
        <v>115</v>
      </c>
    </row>
    <row r="13" spans="1:6" ht="15">
      <c r="A13" s="82">
        <v>1313</v>
      </c>
      <c r="B13" s="83" t="s">
        <v>34</v>
      </c>
      <c r="C13">
        <v>1</v>
      </c>
      <c r="F13" t="s">
        <v>115</v>
      </c>
    </row>
    <row r="14" spans="1:6" ht="15">
      <c r="A14" s="82">
        <v>1314</v>
      </c>
      <c r="B14" s="83" t="s">
        <v>35</v>
      </c>
      <c r="C14">
        <v>1</v>
      </c>
      <c r="F14" t="s">
        <v>115</v>
      </c>
    </row>
    <row r="15" spans="1:6" ht="15">
      <c r="A15" s="82">
        <v>1315</v>
      </c>
      <c r="B15" s="83" t="s">
        <v>36</v>
      </c>
      <c r="C15">
        <v>1</v>
      </c>
      <c r="F15" t="s">
        <v>115</v>
      </c>
    </row>
    <row r="16" spans="1:6" ht="15">
      <c r="A16" s="82">
        <v>1316</v>
      </c>
      <c r="B16" s="83" t="s">
        <v>20</v>
      </c>
      <c r="C16">
        <v>1</v>
      </c>
      <c r="F16" t="s">
        <v>115</v>
      </c>
    </row>
    <row r="17" spans="1:6" ht="15">
      <c r="A17" s="84">
        <v>1319</v>
      </c>
      <c r="B17" s="85" t="s">
        <v>117</v>
      </c>
      <c r="C17">
        <v>3</v>
      </c>
      <c r="D17">
        <v>1310</v>
      </c>
      <c r="F17" t="s">
        <v>115</v>
      </c>
    </row>
    <row r="18" spans="1:6" ht="15">
      <c r="A18" s="80">
        <v>1320</v>
      </c>
      <c r="B18" s="81" t="s">
        <v>118</v>
      </c>
      <c r="C18">
        <v>4</v>
      </c>
      <c r="F18" t="s">
        <v>115</v>
      </c>
    </row>
    <row r="19" spans="1:6" ht="15">
      <c r="A19" s="82">
        <v>1321</v>
      </c>
      <c r="B19" s="83" t="s">
        <v>37</v>
      </c>
      <c r="C19">
        <v>1</v>
      </c>
      <c r="F19" t="s">
        <v>115</v>
      </c>
    </row>
    <row r="20" spans="1:6" ht="15">
      <c r="A20" s="82">
        <v>1322</v>
      </c>
      <c r="B20" s="83" t="s">
        <v>38</v>
      </c>
      <c r="C20">
        <v>1</v>
      </c>
      <c r="F20" t="s">
        <v>115</v>
      </c>
    </row>
    <row r="21" spans="1:6" ht="15">
      <c r="A21" s="82">
        <v>1323</v>
      </c>
      <c r="B21" s="83" t="s">
        <v>39</v>
      </c>
      <c r="C21">
        <v>1</v>
      </c>
      <c r="F21" t="s">
        <v>115</v>
      </c>
    </row>
    <row r="22" spans="1:6" ht="15">
      <c r="A22" s="82">
        <v>1324</v>
      </c>
      <c r="B22" s="83" t="s">
        <v>40</v>
      </c>
      <c r="C22">
        <v>1</v>
      </c>
      <c r="F22" t="s">
        <v>115</v>
      </c>
    </row>
    <row r="23" spans="1:6" ht="15">
      <c r="A23" s="82">
        <v>1325</v>
      </c>
      <c r="B23" s="83" t="s">
        <v>41</v>
      </c>
      <c r="C23">
        <v>1</v>
      </c>
      <c r="F23" t="s">
        <v>115</v>
      </c>
    </row>
    <row r="24" spans="1:6" ht="15">
      <c r="A24" s="82">
        <v>1326</v>
      </c>
      <c r="B24" s="83" t="s">
        <v>42</v>
      </c>
      <c r="C24">
        <v>1</v>
      </c>
      <c r="F24" t="s">
        <v>115</v>
      </c>
    </row>
    <row r="25" spans="1:6" ht="15">
      <c r="A25" s="82">
        <v>1327</v>
      </c>
      <c r="B25" s="83" t="s">
        <v>14</v>
      </c>
      <c r="C25">
        <v>1</v>
      </c>
      <c r="F25" t="s">
        <v>115</v>
      </c>
    </row>
    <row r="26" spans="1:6" ht="15">
      <c r="A26" s="84">
        <v>1329</v>
      </c>
      <c r="B26" s="85" t="s">
        <v>119</v>
      </c>
      <c r="C26">
        <v>3</v>
      </c>
      <c r="D26">
        <v>1320</v>
      </c>
      <c r="F26" t="s">
        <v>115</v>
      </c>
    </row>
    <row r="27" spans="1:6" ht="15">
      <c r="A27" s="80">
        <v>1330</v>
      </c>
      <c r="B27" s="81" t="s">
        <v>120</v>
      </c>
      <c r="C27">
        <v>4</v>
      </c>
      <c r="F27" t="s">
        <v>115</v>
      </c>
    </row>
    <row r="28" spans="1:6" ht="15">
      <c r="A28" s="82">
        <v>1331</v>
      </c>
      <c r="B28" s="83" t="s">
        <v>43</v>
      </c>
      <c r="C28">
        <v>1</v>
      </c>
      <c r="F28" t="s">
        <v>115</v>
      </c>
    </row>
    <row r="29" spans="1:6" ht="15">
      <c r="A29" s="82">
        <v>1332</v>
      </c>
      <c r="B29" s="83" t="s">
        <v>44</v>
      </c>
      <c r="C29">
        <v>1</v>
      </c>
      <c r="F29" t="s">
        <v>115</v>
      </c>
    </row>
    <row r="30" spans="1:6" ht="15">
      <c r="A30" s="82">
        <v>1333</v>
      </c>
      <c r="B30" s="83" t="s">
        <v>45</v>
      </c>
      <c r="C30">
        <v>1</v>
      </c>
      <c r="F30" t="s">
        <v>115</v>
      </c>
    </row>
    <row r="31" spans="1:6" ht="15">
      <c r="A31" s="82">
        <v>1334</v>
      </c>
      <c r="B31" s="83" t="s">
        <v>46</v>
      </c>
      <c r="C31">
        <v>1</v>
      </c>
      <c r="F31" t="s">
        <v>115</v>
      </c>
    </row>
    <row r="32" spans="1:6" ht="15">
      <c r="A32" s="82">
        <v>1335</v>
      </c>
      <c r="B32" s="83" t="s">
        <v>47</v>
      </c>
      <c r="C32">
        <v>1</v>
      </c>
      <c r="F32" t="s">
        <v>115</v>
      </c>
    </row>
    <row r="33" spans="1:6" ht="15">
      <c r="A33" s="82">
        <v>1336</v>
      </c>
      <c r="B33" s="83" t="s">
        <v>48</v>
      </c>
      <c r="C33">
        <v>1</v>
      </c>
      <c r="F33" t="s">
        <v>115</v>
      </c>
    </row>
    <row r="34" spans="1:6" ht="15">
      <c r="A34" s="82">
        <v>1337</v>
      </c>
      <c r="B34" s="83" t="s">
        <v>49</v>
      </c>
      <c r="C34">
        <v>1</v>
      </c>
      <c r="F34" t="s">
        <v>115</v>
      </c>
    </row>
    <row r="35" spans="1:6" ht="15">
      <c r="A35" s="82">
        <v>1338</v>
      </c>
      <c r="B35" s="83" t="s">
        <v>50</v>
      </c>
      <c r="C35">
        <v>1</v>
      </c>
      <c r="F35" t="s">
        <v>115</v>
      </c>
    </row>
    <row r="36" spans="1:6" ht="15">
      <c r="A36" s="82">
        <v>1339</v>
      </c>
      <c r="B36" s="83" t="s">
        <v>51</v>
      </c>
      <c r="C36">
        <v>1</v>
      </c>
      <c r="F36" t="s">
        <v>115</v>
      </c>
    </row>
    <row r="37" spans="1:6" ht="15">
      <c r="A37" s="82">
        <v>1340</v>
      </c>
      <c r="B37" s="83" t="s">
        <v>52</v>
      </c>
      <c r="C37">
        <v>1</v>
      </c>
      <c r="F37" t="s">
        <v>115</v>
      </c>
    </row>
    <row r="38" spans="1:6" ht="15">
      <c r="A38" s="84">
        <v>1349</v>
      </c>
      <c r="B38" s="85" t="s">
        <v>207</v>
      </c>
      <c r="C38">
        <v>3</v>
      </c>
      <c r="D38">
        <v>1330</v>
      </c>
      <c r="F38" t="s">
        <v>115</v>
      </c>
    </row>
    <row r="39" spans="1:6" ht="15">
      <c r="A39" s="80">
        <v>1350</v>
      </c>
      <c r="B39" s="81" t="s">
        <v>121</v>
      </c>
      <c r="C39">
        <v>4</v>
      </c>
      <c r="F39" t="s">
        <v>115</v>
      </c>
    </row>
    <row r="40" spans="1:6" ht="15">
      <c r="A40" s="82">
        <v>1351</v>
      </c>
      <c r="B40" s="83" t="s">
        <v>53</v>
      </c>
      <c r="C40">
        <v>1</v>
      </c>
      <c r="F40" t="s">
        <v>115</v>
      </c>
    </row>
    <row r="41" spans="1:6" ht="15">
      <c r="A41" s="82">
        <v>1352</v>
      </c>
      <c r="B41" s="83" t="s">
        <v>237</v>
      </c>
      <c r="C41">
        <v>1</v>
      </c>
      <c r="F41" t="s">
        <v>115</v>
      </c>
    </row>
    <row r="42" spans="1:6" ht="15">
      <c r="A42" s="82">
        <v>1353</v>
      </c>
      <c r="B42" s="83" t="s">
        <v>54</v>
      </c>
      <c r="C42">
        <v>1</v>
      </c>
      <c r="F42" t="s">
        <v>115</v>
      </c>
    </row>
    <row r="43" spans="1:3" ht="15">
      <c r="A43" s="82">
        <v>1355</v>
      </c>
      <c r="B43" s="83" t="s">
        <v>238</v>
      </c>
      <c r="C43">
        <v>1</v>
      </c>
    </row>
    <row r="44" spans="1:6" ht="15">
      <c r="A44" s="84">
        <v>1359</v>
      </c>
      <c r="B44" s="85" t="s">
        <v>122</v>
      </c>
      <c r="C44">
        <v>3</v>
      </c>
      <c r="D44">
        <v>1350</v>
      </c>
      <c r="F44" t="s">
        <v>115</v>
      </c>
    </row>
    <row r="45" spans="1:6" ht="15">
      <c r="A45" s="82">
        <v>1360</v>
      </c>
      <c r="B45" s="83" t="s">
        <v>12</v>
      </c>
      <c r="C45">
        <v>1</v>
      </c>
      <c r="F45" t="s">
        <v>115</v>
      </c>
    </row>
    <row r="46" spans="1:6" ht="15">
      <c r="A46" s="82">
        <v>1370</v>
      </c>
      <c r="B46" s="83" t="s">
        <v>55</v>
      </c>
      <c r="C46">
        <v>1</v>
      </c>
      <c r="F46" t="s">
        <v>115</v>
      </c>
    </row>
    <row r="47" spans="1:6" ht="15">
      <c r="A47" s="82">
        <v>1380</v>
      </c>
      <c r="B47" s="83" t="s">
        <v>56</v>
      </c>
      <c r="C47">
        <v>1</v>
      </c>
      <c r="F47" t="s">
        <v>115</v>
      </c>
    </row>
    <row r="48" spans="1:4" ht="15">
      <c r="A48" s="84">
        <v>1998</v>
      </c>
      <c r="B48" s="85" t="s">
        <v>123</v>
      </c>
      <c r="C48">
        <v>3</v>
      </c>
      <c r="D48">
        <v>1300</v>
      </c>
    </row>
    <row r="49" spans="1:4" ht="15">
      <c r="A49" s="84">
        <v>1999</v>
      </c>
      <c r="B49" s="85" t="s">
        <v>124</v>
      </c>
      <c r="C49">
        <v>3</v>
      </c>
      <c r="D49">
        <v>1000</v>
      </c>
    </row>
    <row r="50" spans="1:3" ht="15">
      <c r="A50" s="80">
        <v>2200</v>
      </c>
      <c r="B50" s="81" t="s">
        <v>125</v>
      </c>
      <c r="C50">
        <v>4</v>
      </c>
    </row>
    <row r="51" spans="1:3" ht="15">
      <c r="A51" s="82">
        <v>2210</v>
      </c>
      <c r="B51" s="83" t="s">
        <v>57</v>
      </c>
      <c r="C51">
        <v>1</v>
      </c>
    </row>
    <row r="52" spans="1:3" ht="15">
      <c r="A52" s="82">
        <v>2220</v>
      </c>
      <c r="B52" s="83" t="s">
        <v>9</v>
      </c>
      <c r="C52">
        <v>1</v>
      </c>
    </row>
    <row r="53" spans="1:3" ht="15">
      <c r="A53" s="80">
        <v>2230</v>
      </c>
      <c r="B53" s="81" t="s">
        <v>8</v>
      </c>
      <c r="C53">
        <v>4</v>
      </c>
    </row>
    <row r="54" spans="1:3" ht="15">
      <c r="A54" s="82">
        <v>2231</v>
      </c>
      <c r="B54" s="83" t="s">
        <v>239</v>
      </c>
      <c r="C54">
        <v>1</v>
      </c>
    </row>
    <row r="55" spans="1:3" ht="15">
      <c r="A55" s="82">
        <v>2232</v>
      </c>
      <c r="B55" s="83" t="s">
        <v>240</v>
      </c>
      <c r="C55">
        <v>1</v>
      </c>
    </row>
    <row r="56" spans="1:3" ht="15">
      <c r="A56" s="82">
        <v>2233</v>
      </c>
      <c r="B56" s="83" t="s">
        <v>241</v>
      </c>
      <c r="C56">
        <v>1</v>
      </c>
    </row>
    <row r="57" spans="1:3" ht="15">
      <c r="A57" s="82">
        <v>2234</v>
      </c>
      <c r="B57" s="83" t="s">
        <v>242</v>
      </c>
      <c r="C57">
        <v>1</v>
      </c>
    </row>
    <row r="58" spans="1:3" ht="15">
      <c r="A58" s="82">
        <v>2235</v>
      </c>
      <c r="B58" s="83" t="s">
        <v>58</v>
      </c>
      <c r="C58">
        <v>1</v>
      </c>
    </row>
    <row r="59" spans="1:4" ht="15">
      <c r="A59" s="84">
        <v>2239</v>
      </c>
      <c r="B59" s="85" t="s">
        <v>126</v>
      </c>
      <c r="C59">
        <v>3</v>
      </c>
      <c r="D59">
        <v>2230</v>
      </c>
    </row>
    <row r="60" spans="1:3" ht="15">
      <c r="A60" s="80">
        <v>2250</v>
      </c>
      <c r="B60" s="81" t="s">
        <v>10</v>
      </c>
      <c r="C60">
        <v>4</v>
      </c>
    </row>
    <row r="61" spans="1:3" ht="15">
      <c r="A61" s="82">
        <v>2251</v>
      </c>
      <c r="B61" s="83" t="s">
        <v>213</v>
      </c>
      <c r="C61">
        <v>1</v>
      </c>
    </row>
    <row r="62" spans="1:3" ht="15">
      <c r="A62" s="82">
        <v>2255</v>
      </c>
      <c r="B62" s="83" t="s">
        <v>214</v>
      </c>
      <c r="C62">
        <v>1</v>
      </c>
    </row>
    <row r="63" spans="1:3" ht="15">
      <c r="A63" s="82">
        <v>2256</v>
      </c>
      <c r="B63" s="83" t="s">
        <v>215</v>
      </c>
      <c r="C63">
        <v>1</v>
      </c>
    </row>
    <row r="64" spans="1:3" ht="15">
      <c r="A64" s="82">
        <v>2258</v>
      </c>
      <c r="B64" s="83" t="s">
        <v>59</v>
      </c>
      <c r="C64">
        <v>1</v>
      </c>
    </row>
    <row r="65" spans="1:4" ht="15">
      <c r="A65" s="84">
        <v>2259</v>
      </c>
      <c r="B65" s="85" t="s">
        <v>127</v>
      </c>
      <c r="C65">
        <v>3</v>
      </c>
      <c r="D65">
        <v>2250</v>
      </c>
    </row>
    <row r="66" spans="1:3" ht="15">
      <c r="A66" s="80">
        <v>2260</v>
      </c>
      <c r="B66" s="81" t="s">
        <v>243</v>
      </c>
      <c r="C66">
        <v>4</v>
      </c>
    </row>
    <row r="67" spans="1:3" ht="15">
      <c r="A67" s="82">
        <v>2261</v>
      </c>
      <c r="B67" s="83" t="s">
        <v>18</v>
      </c>
      <c r="C67">
        <v>1</v>
      </c>
    </row>
    <row r="68" spans="1:3" ht="15">
      <c r="A68" s="82">
        <v>2262</v>
      </c>
      <c r="B68" s="83" t="s">
        <v>60</v>
      </c>
      <c r="C68">
        <v>1</v>
      </c>
    </row>
    <row r="69" spans="1:3" ht="15">
      <c r="A69" s="82">
        <v>2263</v>
      </c>
      <c r="B69" s="83" t="s">
        <v>61</v>
      </c>
      <c r="C69">
        <v>1</v>
      </c>
    </row>
    <row r="70" spans="1:3" ht="15">
      <c r="A70" s="82">
        <v>2264</v>
      </c>
      <c r="B70" s="83" t="s">
        <v>62</v>
      </c>
      <c r="C70">
        <v>1</v>
      </c>
    </row>
    <row r="71" spans="1:3" ht="15">
      <c r="A71" s="82">
        <v>2265</v>
      </c>
      <c r="B71" s="83" t="s">
        <v>208</v>
      </c>
      <c r="C71">
        <v>1</v>
      </c>
    </row>
    <row r="72" spans="1:4" ht="15">
      <c r="A72" s="84">
        <v>2269</v>
      </c>
      <c r="B72" s="85" t="s">
        <v>244</v>
      </c>
      <c r="C72">
        <v>3</v>
      </c>
      <c r="D72">
        <v>2260</v>
      </c>
    </row>
    <row r="73" spans="1:3" ht="15">
      <c r="A73" s="80">
        <v>2270</v>
      </c>
      <c r="B73" s="81" t="s">
        <v>13</v>
      </c>
      <c r="C73">
        <v>4</v>
      </c>
    </row>
    <row r="74" spans="1:3" ht="15">
      <c r="A74" s="82">
        <v>2271</v>
      </c>
      <c r="B74" s="83" t="s">
        <v>63</v>
      </c>
      <c r="C74">
        <v>1</v>
      </c>
    </row>
    <row r="75" spans="1:3" ht="15">
      <c r="A75" s="82">
        <v>2272</v>
      </c>
      <c r="B75" s="83" t="s">
        <v>64</v>
      </c>
      <c r="C75">
        <v>1</v>
      </c>
    </row>
    <row r="76" spans="1:3" ht="15">
      <c r="A76" s="82">
        <v>2273</v>
      </c>
      <c r="B76" s="83" t="s">
        <v>65</v>
      </c>
      <c r="C76">
        <v>1</v>
      </c>
    </row>
    <row r="77" spans="1:4" ht="15">
      <c r="A77" s="84">
        <v>2279</v>
      </c>
      <c r="B77" s="85" t="s">
        <v>128</v>
      </c>
      <c r="C77">
        <v>3</v>
      </c>
      <c r="D77">
        <v>2270</v>
      </c>
    </row>
    <row r="78" spans="1:3" ht="15">
      <c r="A78" s="80">
        <v>2280</v>
      </c>
      <c r="B78" s="81" t="s">
        <v>11</v>
      </c>
      <c r="C78">
        <v>4</v>
      </c>
    </row>
    <row r="79" spans="1:3" ht="15">
      <c r="A79" s="82">
        <v>2282</v>
      </c>
      <c r="B79" s="83" t="s">
        <v>66</v>
      </c>
      <c r="C79">
        <v>1</v>
      </c>
    </row>
    <row r="80" spans="1:3" ht="15">
      <c r="A80" s="82">
        <v>2284</v>
      </c>
      <c r="B80" s="83" t="s">
        <v>67</v>
      </c>
      <c r="C80">
        <v>1</v>
      </c>
    </row>
    <row r="81" spans="1:4" ht="15">
      <c r="A81" s="84">
        <v>2289</v>
      </c>
      <c r="B81" s="85" t="s">
        <v>129</v>
      </c>
      <c r="C81">
        <v>3</v>
      </c>
      <c r="D81">
        <v>2280</v>
      </c>
    </row>
    <row r="82" spans="1:3" ht="15">
      <c r="A82" s="80">
        <v>2290</v>
      </c>
      <c r="B82" s="81" t="s">
        <v>14</v>
      </c>
      <c r="C82">
        <v>4</v>
      </c>
    </row>
    <row r="83" spans="1:3" ht="15">
      <c r="A83" s="82">
        <v>2292</v>
      </c>
      <c r="B83" s="83" t="s">
        <v>68</v>
      </c>
      <c r="C83">
        <v>1</v>
      </c>
    </row>
    <row r="84" spans="1:3" ht="15">
      <c r="A84" s="82">
        <v>2293</v>
      </c>
      <c r="B84" s="83" t="s">
        <v>245</v>
      </c>
      <c r="C84">
        <v>1</v>
      </c>
    </row>
    <row r="85" spans="1:3" ht="15">
      <c r="A85" s="82">
        <v>2294</v>
      </c>
      <c r="B85" s="83" t="s">
        <v>69</v>
      </c>
      <c r="C85">
        <v>1</v>
      </c>
    </row>
    <row r="86" spans="1:3" ht="15">
      <c r="A86" s="82">
        <v>2295</v>
      </c>
      <c r="B86" s="83" t="s">
        <v>70</v>
      </c>
      <c r="C86">
        <v>1</v>
      </c>
    </row>
    <row r="87" spans="1:4" ht="15">
      <c r="A87" s="84">
        <v>2296</v>
      </c>
      <c r="B87" s="85" t="s">
        <v>130</v>
      </c>
      <c r="C87">
        <v>3</v>
      </c>
      <c r="D87">
        <v>2290</v>
      </c>
    </row>
    <row r="88" spans="1:4" ht="15">
      <c r="A88" s="84">
        <v>2997</v>
      </c>
      <c r="B88" s="85" t="s">
        <v>131</v>
      </c>
      <c r="C88">
        <v>3</v>
      </c>
      <c r="D88">
        <v>2200</v>
      </c>
    </row>
    <row r="89" spans="1:4" ht="15">
      <c r="A89" s="84">
        <v>2998</v>
      </c>
      <c r="B89" s="85" t="s">
        <v>132</v>
      </c>
      <c r="C89">
        <v>3</v>
      </c>
      <c r="D89">
        <v>1300</v>
      </c>
    </row>
    <row r="90" spans="1:4" ht="15">
      <c r="A90" s="84">
        <v>2999</v>
      </c>
      <c r="B90" s="85" t="s">
        <v>246</v>
      </c>
      <c r="C90">
        <v>3</v>
      </c>
      <c r="D90">
        <v>1000</v>
      </c>
    </row>
    <row r="91" spans="1:3" ht="15">
      <c r="A91" s="80">
        <v>3000</v>
      </c>
      <c r="B91" s="81" t="s">
        <v>133</v>
      </c>
      <c r="C91">
        <v>4</v>
      </c>
    </row>
    <row r="92" spans="1:3" ht="15">
      <c r="A92" s="80">
        <v>3100</v>
      </c>
      <c r="B92" s="81" t="s">
        <v>79</v>
      </c>
      <c r="C92">
        <v>4</v>
      </c>
    </row>
    <row r="93" spans="1:6" ht="15">
      <c r="A93" s="82">
        <v>3110</v>
      </c>
      <c r="B93" s="83" t="s">
        <v>71</v>
      </c>
      <c r="C93">
        <v>1</v>
      </c>
      <c r="F93" t="s">
        <v>30</v>
      </c>
    </row>
    <row r="94" spans="1:6" ht="15">
      <c r="A94" s="82">
        <v>3120</v>
      </c>
      <c r="B94" s="83" t="s">
        <v>72</v>
      </c>
      <c r="C94">
        <v>1</v>
      </c>
      <c r="F94" t="s">
        <v>30</v>
      </c>
    </row>
    <row r="95" spans="1:3" ht="15">
      <c r="A95" s="82">
        <v>3130</v>
      </c>
      <c r="B95" s="83" t="s">
        <v>73</v>
      </c>
      <c r="C95">
        <v>1</v>
      </c>
    </row>
    <row r="96" spans="1:3" ht="15">
      <c r="A96" s="82">
        <v>3140</v>
      </c>
      <c r="B96" s="83" t="s">
        <v>74</v>
      </c>
      <c r="C96">
        <v>1</v>
      </c>
    </row>
    <row r="97" spans="1:3" ht="15">
      <c r="A97" s="82">
        <v>3150</v>
      </c>
      <c r="B97" s="83" t="s">
        <v>60</v>
      </c>
      <c r="C97">
        <v>1</v>
      </c>
    </row>
    <row r="98" spans="1:3" ht="15">
      <c r="A98" s="82">
        <v>3160</v>
      </c>
      <c r="B98" s="83" t="s">
        <v>75</v>
      </c>
      <c r="C98">
        <v>1</v>
      </c>
    </row>
    <row r="99" spans="1:3" ht="15">
      <c r="A99" s="82">
        <v>3170</v>
      </c>
      <c r="B99" s="83" t="s">
        <v>62</v>
      </c>
      <c r="C99">
        <v>1</v>
      </c>
    </row>
    <row r="100" spans="1:3" ht="15">
      <c r="A100" s="82">
        <v>3180</v>
      </c>
      <c r="B100" s="83" t="s">
        <v>76</v>
      </c>
      <c r="C100">
        <v>1</v>
      </c>
    </row>
    <row r="101" spans="1:4" ht="15">
      <c r="A101" s="84">
        <v>3199</v>
      </c>
      <c r="B101" s="85" t="s">
        <v>134</v>
      </c>
      <c r="C101">
        <v>3</v>
      </c>
      <c r="D101">
        <v>3100</v>
      </c>
    </row>
    <row r="102" spans="1:3" ht="15">
      <c r="A102" s="80">
        <v>3200</v>
      </c>
      <c r="B102" s="81" t="s">
        <v>62</v>
      </c>
      <c r="C102">
        <v>4</v>
      </c>
    </row>
    <row r="103" spans="1:6" ht="15">
      <c r="A103" s="82">
        <v>3210</v>
      </c>
      <c r="B103" s="83" t="s">
        <v>77</v>
      </c>
      <c r="C103">
        <v>1</v>
      </c>
      <c r="F103" t="s">
        <v>30</v>
      </c>
    </row>
    <row r="104" spans="1:6" ht="15">
      <c r="A104" s="82">
        <v>3220</v>
      </c>
      <c r="B104" s="83" t="s">
        <v>78</v>
      </c>
      <c r="C104">
        <v>1</v>
      </c>
      <c r="F104" t="s">
        <v>30</v>
      </c>
    </row>
    <row r="105" spans="1:6" ht="15">
      <c r="A105" s="82">
        <v>3230</v>
      </c>
      <c r="B105" s="83" t="s">
        <v>247</v>
      </c>
      <c r="C105">
        <v>1</v>
      </c>
      <c r="F105" t="s">
        <v>30</v>
      </c>
    </row>
    <row r="106" spans="1:3" ht="15">
      <c r="A106" s="82">
        <v>3240</v>
      </c>
      <c r="B106" s="83" t="s">
        <v>80</v>
      </c>
      <c r="C106">
        <v>1</v>
      </c>
    </row>
    <row r="107" spans="1:4" ht="15">
      <c r="A107" s="84">
        <v>3299</v>
      </c>
      <c r="B107" s="85" t="s">
        <v>135</v>
      </c>
      <c r="C107">
        <v>3</v>
      </c>
      <c r="D107">
        <v>3200</v>
      </c>
    </row>
    <row r="108" spans="1:3" ht="15">
      <c r="A108" s="80">
        <v>3300</v>
      </c>
      <c r="B108" s="81" t="s">
        <v>201</v>
      </c>
      <c r="C108">
        <v>4</v>
      </c>
    </row>
    <row r="109" spans="1:6" ht="15">
      <c r="A109" s="82">
        <v>3310</v>
      </c>
      <c r="B109" s="83" t="s">
        <v>81</v>
      </c>
      <c r="C109">
        <v>1</v>
      </c>
      <c r="F109" t="s">
        <v>30</v>
      </c>
    </row>
    <row r="110" spans="1:6" ht="15">
      <c r="A110" s="82">
        <v>3320</v>
      </c>
      <c r="B110" s="83" t="s">
        <v>82</v>
      </c>
      <c r="C110">
        <v>1</v>
      </c>
      <c r="F110" t="s">
        <v>30</v>
      </c>
    </row>
    <row r="111" spans="1:6" ht="15">
      <c r="A111" s="82">
        <v>3330</v>
      </c>
      <c r="B111" s="83" t="s">
        <v>83</v>
      </c>
      <c r="C111">
        <v>1</v>
      </c>
      <c r="F111" t="s">
        <v>30</v>
      </c>
    </row>
    <row r="112" spans="1:3" ht="15">
      <c r="A112" s="82">
        <v>3340</v>
      </c>
      <c r="B112" s="83" t="s">
        <v>84</v>
      </c>
      <c r="C112">
        <v>1</v>
      </c>
    </row>
    <row r="113" spans="1:4" ht="15">
      <c r="A113" s="84">
        <v>3399</v>
      </c>
      <c r="B113" s="85" t="s">
        <v>136</v>
      </c>
      <c r="C113">
        <v>3</v>
      </c>
      <c r="D113">
        <v>3300</v>
      </c>
    </row>
    <row r="114" spans="1:3" ht="15">
      <c r="A114" s="80">
        <v>3400</v>
      </c>
      <c r="B114" s="81" t="s">
        <v>18</v>
      </c>
      <c r="C114">
        <v>4</v>
      </c>
    </row>
    <row r="115" spans="1:6" ht="15">
      <c r="A115" s="82">
        <v>3410</v>
      </c>
      <c r="B115" s="83" t="s">
        <v>85</v>
      </c>
      <c r="C115">
        <v>1</v>
      </c>
      <c r="F115" t="s">
        <v>30</v>
      </c>
    </row>
    <row r="116" spans="1:6" ht="15">
      <c r="A116" s="82">
        <v>3420</v>
      </c>
      <c r="B116" s="83" t="s">
        <v>86</v>
      </c>
      <c r="C116">
        <v>1</v>
      </c>
      <c r="F116" t="s">
        <v>30</v>
      </c>
    </row>
    <row r="117" spans="1:3" ht="15">
      <c r="A117" s="82">
        <v>3430</v>
      </c>
      <c r="B117" s="83" t="s">
        <v>87</v>
      </c>
      <c r="C117">
        <v>1</v>
      </c>
    </row>
    <row r="118" spans="1:4" ht="15">
      <c r="A118" s="84">
        <v>3499</v>
      </c>
      <c r="B118" s="85" t="s">
        <v>137</v>
      </c>
      <c r="C118">
        <v>3</v>
      </c>
      <c r="D118">
        <v>3400</v>
      </c>
    </row>
    <row r="119" spans="1:3" ht="15">
      <c r="A119" s="80">
        <v>3500</v>
      </c>
      <c r="B119" s="81" t="s">
        <v>15</v>
      </c>
      <c r="C119">
        <v>4</v>
      </c>
    </row>
    <row r="120" spans="1:6" ht="15">
      <c r="A120" s="82">
        <v>3510</v>
      </c>
      <c r="B120" s="83" t="s">
        <v>88</v>
      </c>
      <c r="C120">
        <v>1</v>
      </c>
      <c r="F120" t="s">
        <v>30</v>
      </c>
    </row>
    <row r="121" spans="1:6" ht="15">
      <c r="A121" s="82">
        <v>3520</v>
      </c>
      <c r="B121" s="83" t="s">
        <v>89</v>
      </c>
      <c r="C121">
        <v>1</v>
      </c>
      <c r="F121" t="s">
        <v>30</v>
      </c>
    </row>
    <row r="122" spans="1:3" ht="15">
      <c r="A122" s="82">
        <v>3530</v>
      </c>
      <c r="B122" s="83" t="s">
        <v>90</v>
      </c>
      <c r="C122">
        <v>1</v>
      </c>
    </row>
    <row r="123" spans="1:4" ht="15">
      <c r="A123" s="84">
        <v>3599</v>
      </c>
      <c r="B123" s="85" t="s">
        <v>138</v>
      </c>
      <c r="C123">
        <v>3</v>
      </c>
      <c r="D123">
        <v>3500</v>
      </c>
    </row>
    <row r="124" spans="1:3" ht="15">
      <c r="A124" s="80">
        <v>3600</v>
      </c>
      <c r="B124" s="81" t="s">
        <v>6</v>
      </c>
      <c r="C124">
        <v>4</v>
      </c>
    </row>
    <row r="125" spans="1:6" ht="15">
      <c r="A125" s="82">
        <v>3610</v>
      </c>
      <c r="B125" s="83" t="s">
        <v>91</v>
      </c>
      <c r="C125">
        <v>1</v>
      </c>
      <c r="F125" t="s">
        <v>30</v>
      </c>
    </row>
    <row r="126" spans="1:6" ht="15">
      <c r="A126" s="82">
        <v>3620</v>
      </c>
      <c r="B126" s="83" t="s">
        <v>92</v>
      </c>
      <c r="C126">
        <v>1</v>
      </c>
      <c r="F126" t="s">
        <v>30</v>
      </c>
    </row>
    <row r="127" spans="1:3" ht="15">
      <c r="A127" s="82">
        <v>3630</v>
      </c>
      <c r="B127" s="83" t="s">
        <v>93</v>
      </c>
      <c r="C127">
        <v>1</v>
      </c>
    </row>
    <row r="128" spans="1:4" ht="15">
      <c r="A128" s="84">
        <v>3699</v>
      </c>
      <c r="B128" s="85" t="s">
        <v>139</v>
      </c>
      <c r="C128">
        <v>3</v>
      </c>
      <c r="D128">
        <v>3600</v>
      </c>
    </row>
    <row r="129" spans="1:3" ht="15">
      <c r="A129" s="80">
        <v>3700</v>
      </c>
      <c r="B129" s="81" t="s">
        <v>140</v>
      </c>
      <c r="C129">
        <v>4</v>
      </c>
    </row>
    <row r="130" spans="1:6" ht="15">
      <c r="A130" s="82">
        <v>3710</v>
      </c>
      <c r="B130" s="83" t="s">
        <v>94</v>
      </c>
      <c r="C130">
        <v>1</v>
      </c>
      <c r="F130" t="s">
        <v>30</v>
      </c>
    </row>
    <row r="131" spans="1:3" ht="15">
      <c r="A131" s="82">
        <v>3720</v>
      </c>
      <c r="B131" s="83" t="s">
        <v>95</v>
      </c>
      <c r="C131">
        <v>1</v>
      </c>
    </row>
    <row r="132" spans="1:4" ht="15">
      <c r="A132" s="84">
        <v>3799</v>
      </c>
      <c r="B132" s="85" t="s">
        <v>141</v>
      </c>
      <c r="C132">
        <v>3</v>
      </c>
      <c r="D132">
        <v>3700</v>
      </c>
    </row>
    <row r="133" spans="1:3" ht="15">
      <c r="A133" s="80">
        <v>3800</v>
      </c>
      <c r="B133" s="81" t="s">
        <v>142</v>
      </c>
      <c r="C133">
        <v>4</v>
      </c>
    </row>
    <row r="134" spans="1:6" ht="15">
      <c r="A134" s="82">
        <v>3810</v>
      </c>
      <c r="B134" s="83" t="s">
        <v>96</v>
      </c>
      <c r="C134">
        <v>1</v>
      </c>
      <c r="F134" t="s">
        <v>30</v>
      </c>
    </row>
    <row r="135" spans="1:6" ht="15">
      <c r="A135" s="82">
        <v>3820</v>
      </c>
      <c r="B135" s="83" t="s">
        <v>248</v>
      </c>
      <c r="C135">
        <v>1</v>
      </c>
      <c r="F135" t="s">
        <v>30</v>
      </c>
    </row>
    <row r="136" spans="1:6" ht="15">
      <c r="A136" s="82">
        <v>3825</v>
      </c>
      <c r="B136" s="83" t="s">
        <v>209</v>
      </c>
      <c r="C136">
        <v>1</v>
      </c>
      <c r="F136" t="s">
        <v>97</v>
      </c>
    </row>
    <row r="137" spans="1:3" ht="15">
      <c r="A137" s="82">
        <v>3827</v>
      </c>
      <c r="B137" s="83" t="s">
        <v>98</v>
      </c>
      <c r="C137">
        <v>1</v>
      </c>
    </row>
    <row r="138" spans="1:3" ht="15">
      <c r="A138" s="82">
        <v>3830</v>
      </c>
      <c r="B138" s="83" t="s">
        <v>99</v>
      </c>
      <c r="C138">
        <v>1</v>
      </c>
    </row>
    <row r="139" spans="1:3" ht="15">
      <c r="A139" s="82">
        <v>3840</v>
      </c>
      <c r="B139" s="83" t="s">
        <v>18</v>
      </c>
      <c r="C139">
        <v>1</v>
      </c>
    </row>
    <row r="140" spans="1:3" ht="15">
      <c r="A140" s="82">
        <v>3850</v>
      </c>
      <c r="B140" s="83" t="s">
        <v>57</v>
      </c>
      <c r="C140">
        <v>1</v>
      </c>
    </row>
    <row r="141" spans="1:3" ht="15">
      <c r="A141" s="82">
        <v>3860</v>
      </c>
      <c r="B141" s="83" t="s">
        <v>249</v>
      </c>
      <c r="C141">
        <v>1</v>
      </c>
    </row>
    <row r="142" spans="1:3" ht="15">
      <c r="A142" s="82">
        <v>3870</v>
      </c>
      <c r="B142" s="83" t="s">
        <v>100</v>
      </c>
      <c r="C142">
        <v>1</v>
      </c>
    </row>
    <row r="143" spans="1:3" ht="15">
      <c r="A143" s="82">
        <v>3880</v>
      </c>
      <c r="B143" s="83" t="s">
        <v>250</v>
      </c>
      <c r="C143">
        <v>1</v>
      </c>
    </row>
    <row r="144" spans="1:4" ht="15">
      <c r="A144" s="84">
        <v>3899</v>
      </c>
      <c r="B144" s="85" t="s">
        <v>143</v>
      </c>
      <c r="C144">
        <v>3</v>
      </c>
      <c r="D144">
        <v>3800</v>
      </c>
    </row>
    <row r="145" spans="1:3" ht="15">
      <c r="A145" s="80">
        <v>3900</v>
      </c>
      <c r="B145" s="81" t="s">
        <v>228</v>
      </c>
      <c r="C145">
        <v>4</v>
      </c>
    </row>
    <row r="146" spans="1:6" ht="15">
      <c r="A146" s="82">
        <v>3910</v>
      </c>
      <c r="B146" s="83" t="s">
        <v>230</v>
      </c>
      <c r="C146">
        <v>1</v>
      </c>
      <c r="F146" t="s">
        <v>30</v>
      </c>
    </row>
    <row r="147" spans="1:3" ht="15">
      <c r="A147" s="82">
        <v>3920</v>
      </c>
      <c r="B147" s="83" t="s">
        <v>231</v>
      </c>
      <c r="C147">
        <v>1</v>
      </c>
    </row>
    <row r="148" spans="1:4" ht="15">
      <c r="A148" s="84">
        <v>3999</v>
      </c>
      <c r="B148" s="85" t="s">
        <v>232</v>
      </c>
      <c r="C148">
        <v>3</v>
      </c>
      <c r="D148">
        <v>3900</v>
      </c>
    </row>
    <row r="149" spans="1:4" ht="15">
      <c r="A149" s="84">
        <v>4900</v>
      </c>
      <c r="B149" s="85" t="s">
        <v>229</v>
      </c>
      <c r="C149">
        <v>3</v>
      </c>
      <c r="D149">
        <v>3000</v>
      </c>
    </row>
    <row r="150" spans="1:4" ht="15">
      <c r="A150" s="84">
        <v>4990</v>
      </c>
      <c r="B150" s="85" t="s">
        <v>144</v>
      </c>
      <c r="C150">
        <v>3</v>
      </c>
      <c r="D150">
        <v>1000</v>
      </c>
    </row>
    <row r="151" spans="1:3" ht="15">
      <c r="A151" s="80">
        <v>5000</v>
      </c>
      <c r="B151" s="81" t="s">
        <v>145</v>
      </c>
      <c r="C151">
        <v>5</v>
      </c>
    </row>
    <row r="152" spans="1:3" ht="15">
      <c r="A152" s="80">
        <v>5010</v>
      </c>
      <c r="B152" s="81" t="s">
        <v>146</v>
      </c>
      <c r="C152">
        <v>4</v>
      </c>
    </row>
    <row r="153" spans="1:3" ht="15">
      <c r="A153" s="80">
        <v>5100</v>
      </c>
      <c r="B153" s="81" t="s">
        <v>147</v>
      </c>
      <c r="C153">
        <v>4</v>
      </c>
    </row>
    <row r="154" spans="1:3" ht="15">
      <c r="A154" s="82">
        <v>5101</v>
      </c>
      <c r="B154" s="83" t="s">
        <v>226</v>
      </c>
      <c r="C154">
        <v>2</v>
      </c>
    </row>
    <row r="155" spans="1:3" ht="15">
      <c r="A155" s="82">
        <v>5102</v>
      </c>
      <c r="B155" s="83" t="s">
        <v>58</v>
      </c>
      <c r="C155">
        <v>2</v>
      </c>
    </row>
    <row r="156" spans="1:8" ht="15">
      <c r="A156" s="82">
        <v>5104</v>
      </c>
      <c r="B156" s="83" t="s">
        <v>227</v>
      </c>
      <c r="C156">
        <v>2</v>
      </c>
      <c r="H156" s="65"/>
    </row>
    <row r="157" spans="1:8" ht="15">
      <c r="A157" s="82">
        <v>5106</v>
      </c>
      <c r="B157" s="83" t="s">
        <v>148</v>
      </c>
      <c r="C157">
        <v>2</v>
      </c>
      <c r="H157" s="65"/>
    </row>
    <row r="158" spans="1:4" ht="15">
      <c r="A158" s="84">
        <v>5199</v>
      </c>
      <c r="B158" s="85" t="s">
        <v>149</v>
      </c>
      <c r="C158">
        <v>3</v>
      </c>
      <c r="D158">
        <v>5100</v>
      </c>
    </row>
    <row r="159" spans="1:3" ht="15">
      <c r="A159" s="80">
        <v>5200</v>
      </c>
      <c r="B159" s="81" t="s">
        <v>150</v>
      </c>
      <c r="C159">
        <v>4</v>
      </c>
    </row>
    <row r="160" spans="1:3" ht="15">
      <c r="A160" s="82">
        <v>5221</v>
      </c>
      <c r="B160" s="83" t="s">
        <v>210</v>
      </c>
      <c r="C160">
        <v>2</v>
      </c>
    </row>
    <row r="161" spans="1:3" ht="15">
      <c r="A161" s="82">
        <v>5222</v>
      </c>
      <c r="B161" s="83" t="s">
        <v>251</v>
      </c>
      <c r="C161">
        <v>2</v>
      </c>
    </row>
    <row r="162" spans="1:3" ht="15">
      <c r="A162" s="82">
        <v>5223</v>
      </c>
      <c r="B162" s="83" t="s">
        <v>211</v>
      </c>
      <c r="C162">
        <v>2</v>
      </c>
    </row>
    <row r="163" spans="1:4" ht="15">
      <c r="A163" s="84">
        <v>5299</v>
      </c>
      <c r="B163" s="85" t="s">
        <v>151</v>
      </c>
      <c r="C163">
        <v>3</v>
      </c>
      <c r="D163">
        <v>5200</v>
      </c>
    </row>
    <row r="164" spans="1:3" ht="15">
      <c r="A164" s="82">
        <v>5300</v>
      </c>
      <c r="B164" s="83" t="s">
        <v>152</v>
      </c>
      <c r="C164">
        <v>2</v>
      </c>
    </row>
    <row r="165" spans="1:4" ht="15">
      <c r="A165" s="84">
        <v>5399</v>
      </c>
      <c r="B165" s="85" t="s">
        <v>153</v>
      </c>
      <c r="C165">
        <v>3</v>
      </c>
      <c r="D165">
        <v>5010</v>
      </c>
    </row>
    <row r="166" spans="1:3" ht="15">
      <c r="A166" s="80">
        <v>5400</v>
      </c>
      <c r="B166" s="81" t="s">
        <v>154</v>
      </c>
      <c r="C166">
        <v>4</v>
      </c>
    </row>
    <row r="167" spans="1:3" ht="15">
      <c r="A167" s="80">
        <v>5410</v>
      </c>
      <c r="B167" s="81" t="s">
        <v>155</v>
      </c>
      <c r="C167">
        <v>4</v>
      </c>
    </row>
    <row r="168" spans="1:3" ht="15">
      <c r="A168" s="82">
        <v>5420</v>
      </c>
      <c r="B168" s="83" t="s">
        <v>155</v>
      </c>
      <c r="C168">
        <v>2</v>
      </c>
    </row>
    <row r="169" spans="1:4" ht="15">
      <c r="A169" s="84">
        <v>5499</v>
      </c>
      <c r="B169" s="85" t="s">
        <v>156</v>
      </c>
      <c r="C169">
        <v>3</v>
      </c>
      <c r="D169">
        <v>5410</v>
      </c>
    </row>
    <row r="170" spans="1:3" ht="15">
      <c r="A170" s="80">
        <v>5500</v>
      </c>
      <c r="B170" s="81" t="s">
        <v>157</v>
      </c>
      <c r="C170">
        <v>4</v>
      </c>
    </row>
    <row r="171" spans="1:3" ht="15">
      <c r="A171" s="82">
        <v>5519</v>
      </c>
      <c r="B171" s="83" t="s">
        <v>158</v>
      </c>
      <c r="C171">
        <v>2</v>
      </c>
    </row>
    <row r="172" spans="1:3" ht="15">
      <c r="A172" s="82">
        <v>5520</v>
      </c>
      <c r="B172" s="83" t="s">
        <v>159</v>
      </c>
      <c r="C172">
        <v>2</v>
      </c>
    </row>
    <row r="173" spans="1:3" ht="15">
      <c r="A173" s="82">
        <v>5530</v>
      </c>
      <c r="B173" s="83" t="s">
        <v>160</v>
      </c>
      <c r="C173">
        <v>2</v>
      </c>
    </row>
    <row r="174" spans="1:3" ht="15">
      <c r="A174" s="82">
        <v>5540</v>
      </c>
      <c r="B174" s="83" t="s">
        <v>157</v>
      </c>
      <c r="C174">
        <v>2</v>
      </c>
    </row>
    <row r="175" spans="1:3" ht="15">
      <c r="A175" s="82">
        <v>5550</v>
      </c>
      <c r="B175" s="83" t="s">
        <v>161</v>
      </c>
      <c r="C175">
        <v>2</v>
      </c>
    </row>
    <row r="176" spans="1:3" ht="15">
      <c r="A176" s="82">
        <v>5560</v>
      </c>
      <c r="B176" s="83" t="s">
        <v>162</v>
      </c>
      <c r="C176">
        <v>2</v>
      </c>
    </row>
    <row r="177" spans="1:3" ht="15">
      <c r="A177" s="82">
        <v>5570</v>
      </c>
      <c r="B177" s="83" t="s">
        <v>163</v>
      </c>
      <c r="C177">
        <v>2</v>
      </c>
    </row>
    <row r="178" spans="1:4" ht="15">
      <c r="A178" s="84">
        <v>5599</v>
      </c>
      <c r="B178" s="85" t="s">
        <v>164</v>
      </c>
      <c r="C178">
        <v>3</v>
      </c>
      <c r="D178">
        <v>5500</v>
      </c>
    </row>
    <row r="179" spans="1:3" ht="15">
      <c r="A179" s="80">
        <v>5900</v>
      </c>
      <c r="B179" s="81" t="s">
        <v>165</v>
      </c>
      <c r="C179">
        <v>4</v>
      </c>
    </row>
    <row r="180" spans="1:3" ht="15">
      <c r="A180" s="82">
        <v>5910</v>
      </c>
      <c r="B180" s="83" t="s">
        <v>166</v>
      </c>
      <c r="C180">
        <v>2</v>
      </c>
    </row>
    <row r="181" spans="1:3" ht="15">
      <c r="A181" s="82">
        <v>5920</v>
      </c>
      <c r="B181" s="83" t="s">
        <v>167</v>
      </c>
      <c r="C181">
        <v>2</v>
      </c>
    </row>
    <row r="182" spans="1:3" ht="15">
      <c r="A182" s="82">
        <v>5930</v>
      </c>
      <c r="B182" s="83" t="s">
        <v>168</v>
      </c>
      <c r="C182">
        <v>2</v>
      </c>
    </row>
    <row r="183" spans="1:4" ht="15">
      <c r="A183" s="84">
        <v>5960</v>
      </c>
      <c r="B183" s="85" t="s">
        <v>169</v>
      </c>
      <c r="C183">
        <v>3</v>
      </c>
      <c r="D183">
        <v>5900</v>
      </c>
    </row>
    <row r="184" spans="1:4" ht="15">
      <c r="A184" s="84">
        <v>5990</v>
      </c>
      <c r="B184" s="85" t="s">
        <v>171</v>
      </c>
      <c r="C184">
        <v>3</v>
      </c>
      <c r="D184">
        <v>5400</v>
      </c>
    </row>
    <row r="185" spans="1:4" ht="15">
      <c r="A185" s="84">
        <v>5998</v>
      </c>
      <c r="B185" s="85" t="s">
        <v>170</v>
      </c>
      <c r="C185">
        <v>3</v>
      </c>
      <c r="D185">
        <v>5000</v>
      </c>
    </row>
    <row r="186" spans="1:3" ht="15">
      <c r="A186" s="80">
        <v>6000</v>
      </c>
      <c r="B186" s="81" t="s">
        <v>172</v>
      </c>
      <c r="C186">
        <v>5</v>
      </c>
    </row>
    <row r="187" spans="1:3" ht="15">
      <c r="A187" s="80">
        <v>6100</v>
      </c>
      <c r="B187" s="81" t="s">
        <v>173</v>
      </c>
      <c r="C187">
        <v>4</v>
      </c>
    </row>
    <row r="188" spans="1:3" ht="15">
      <c r="A188" s="82">
        <v>6110</v>
      </c>
      <c r="B188" s="83" t="s">
        <v>174</v>
      </c>
      <c r="C188">
        <v>2</v>
      </c>
    </row>
    <row r="189" spans="1:4" ht="15">
      <c r="A189" s="84">
        <v>6112</v>
      </c>
      <c r="B189" s="85" t="s">
        <v>175</v>
      </c>
      <c r="C189">
        <v>6</v>
      </c>
      <c r="D189" t="s">
        <v>176</v>
      </c>
    </row>
    <row r="190" spans="1:3" ht="15">
      <c r="A190" s="82">
        <v>6130</v>
      </c>
      <c r="B190" s="83" t="s">
        <v>177</v>
      </c>
      <c r="C190">
        <v>2</v>
      </c>
    </row>
    <row r="191" spans="1:4" ht="15">
      <c r="A191" s="84">
        <v>6199</v>
      </c>
      <c r="B191" s="85" t="s">
        <v>178</v>
      </c>
      <c r="C191">
        <v>6</v>
      </c>
      <c r="D191" t="s">
        <v>179</v>
      </c>
    </row>
    <row r="192" spans="1:3" ht="15">
      <c r="A192" s="80">
        <v>6300</v>
      </c>
      <c r="B192" s="81" t="s">
        <v>180</v>
      </c>
      <c r="C192">
        <v>4</v>
      </c>
    </row>
    <row r="193" spans="1:3" ht="15">
      <c r="A193" s="82">
        <v>6320</v>
      </c>
      <c r="B193" s="83" t="s">
        <v>181</v>
      </c>
      <c r="C193">
        <v>2</v>
      </c>
    </row>
    <row r="194" spans="1:3" ht="15">
      <c r="A194" s="82">
        <v>6340</v>
      </c>
      <c r="B194" s="83" t="s">
        <v>235</v>
      </c>
      <c r="C194">
        <v>2</v>
      </c>
    </row>
    <row r="195" spans="1:3" ht="15">
      <c r="A195" s="82">
        <v>6345</v>
      </c>
      <c r="B195" s="83" t="s">
        <v>236</v>
      </c>
      <c r="C195">
        <v>2</v>
      </c>
    </row>
    <row r="196" spans="1:3" ht="15">
      <c r="A196" s="82">
        <v>6350</v>
      </c>
      <c r="B196" s="83" t="s">
        <v>233</v>
      </c>
      <c r="C196">
        <v>2</v>
      </c>
    </row>
    <row r="197" spans="1:2" ht="15">
      <c r="A197" s="82">
        <v>6360</v>
      </c>
      <c r="B197" s="83" t="s">
        <v>234</v>
      </c>
    </row>
    <row r="198" spans="1:3" ht="15">
      <c r="A198" s="82">
        <v>6380</v>
      </c>
      <c r="B198" s="83" t="s">
        <v>182</v>
      </c>
      <c r="C198">
        <v>2</v>
      </c>
    </row>
    <row r="199" spans="1:4" ht="15">
      <c r="A199" s="84">
        <v>6399</v>
      </c>
      <c r="B199" s="85" t="s">
        <v>183</v>
      </c>
      <c r="C199">
        <v>3</v>
      </c>
      <c r="D199">
        <v>6300</v>
      </c>
    </row>
    <row r="200" spans="1:3" ht="15">
      <c r="A200" s="80">
        <v>6600</v>
      </c>
      <c r="B200" s="81" t="s">
        <v>212</v>
      </c>
      <c r="C200">
        <v>4</v>
      </c>
    </row>
    <row r="201" spans="1:3" ht="15">
      <c r="A201" s="80">
        <v>6605</v>
      </c>
      <c r="B201" s="81" t="s">
        <v>184</v>
      </c>
      <c r="C201">
        <v>4</v>
      </c>
    </row>
    <row r="202" spans="1:3" ht="15">
      <c r="A202" s="82">
        <v>6620</v>
      </c>
      <c r="B202" s="83" t="s">
        <v>185</v>
      </c>
      <c r="C202">
        <v>2</v>
      </c>
    </row>
    <row r="203" spans="1:3" ht="15">
      <c r="A203" s="82">
        <v>6630</v>
      </c>
      <c r="B203" s="83" t="s">
        <v>223</v>
      </c>
      <c r="C203">
        <v>2</v>
      </c>
    </row>
    <row r="204" spans="1:3" ht="15">
      <c r="A204" s="82">
        <v>6640</v>
      </c>
      <c r="B204" s="83" t="s">
        <v>224</v>
      </c>
      <c r="C204">
        <v>2</v>
      </c>
    </row>
    <row r="205" spans="1:3" ht="15">
      <c r="A205" s="82">
        <v>6650</v>
      </c>
      <c r="B205" s="83" t="s">
        <v>225</v>
      </c>
      <c r="C205">
        <v>2</v>
      </c>
    </row>
    <row r="206" spans="1:4" ht="15">
      <c r="A206" s="84">
        <v>6799</v>
      </c>
      <c r="B206" s="85" t="s">
        <v>186</v>
      </c>
      <c r="C206">
        <v>3</v>
      </c>
      <c r="D206">
        <v>6605</v>
      </c>
    </row>
    <row r="207" spans="1:3" ht="15">
      <c r="A207" s="80">
        <v>6900</v>
      </c>
      <c r="B207" s="81" t="s">
        <v>187</v>
      </c>
      <c r="C207">
        <v>4</v>
      </c>
    </row>
    <row r="208" spans="1:3" ht="15">
      <c r="A208" s="82">
        <v>6905</v>
      </c>
      <c r="B208" s="83" t="s">
        <v>187</v>
      </c>
      <c r="C208">
        <v>2</v>
      </c>
    </row>
    <row r="209" spans="1:3" ht="15">
      <c r="A209" s="82">
        <v>6910</v>
      </c>
      <c r="B209" s="83" t="s">
        <v>188</v>
      </c>
      <c r="C209">
        <v>2</v>
      </c>
    </row>
    <row r="210" spans="1:3" ht="15">
      <c r="A210" s="82">
        <v>6920</v>
      </c>
      <c r="B210" s="83" t="s">
        <v>189</v>
      </c>
      <c r="C210">
        <v>2</v>
      </c>
    </row>
    <row r="211" spans="1:4" ht="15">
      <c r="A211" s="84">
        <v>6999</v>
      </c>
      <c r="B211" s="85" t="s">
        <v>190</v>
      </c>
      <c r="C211">
        <v>3</v>
      </c>
      <c r="D211">
        <v>6900</v>
      </c>
    </row>
    <row r="212" spans="1:4" ht="15">
      <c r="A212" s="84">
        <v>7999</v>
      </c>
      <c r="B212" s="85" t="s">
        <v>191</v>
      </c>
      <c r="C212">
        <v>3</v>
      </c>
      <c r="D212">
        <v>6600</v>
      </c>
    </row>
    <row r="213" spans="1:4" ht="15">
      <c r="A213" s="84">
        <v>8999</v>
      </c>
      <c r="B213" s="85" t="s">
        <v>192</v>
      </c>
      <c r="C213">
        <v>6</v>
      </c>
      <c r="D213" t="s">
        <v>193</v>
      </c>
    </row>
    <row r="214" spans="1:3" ht="15">
      <c r="A214" s="82">
        <v>9900</v>
      </c>
      <c r="B214" s="83" t="s">
        <v>194</v>
      </c>
      <c r="C214">
        <v>2</v>
      </c>
    </row>
    <row r="215" spans="1:4" ht="15">
      <c r="A215" s="84">
        <v>9990</v>
      </c>
      <c r="B215" s="85" t="s">
        <v>195</v>
      </c>
      <c r="C215">
        <v>3</v>
      </c>
      <c r="D215">
        <v>1000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57421875" style="0" bestFit="1" customWidth="1"/>
    <col min="2" max="2" width="6.57421875" style="0" bestFit="1" customWidth="1"/>
    <col min="3" max="3" width="10.140625" style="0" bestFit="1" customWidth="1"/>
    <col min="4" max="4" width="5.8515625" style="0" bestFit="1" customWidth="1"/>
    <col min="5" max="5" width="19.140625" style="0" bestFit="1" customWidth="1"/>
    <col min="6" max="6" width="31.140625" style="0" bestFit="1" customWidth="1"/>
    <col min="7" max="8" width="12.8515625" style="0" bestFit="1" customWidth="1"/>
  </cols>
  <sheetData>
    <row r="1" spans="1:11" ht="15" customHeight="1">
      <c r="A1" s="138" t="s">
        <v>280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" customHeight="1">
      <c r="A2" s="138" t="s">
        <v>281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5" customHeight="1">
      <c r="A3" s="138" t="s">
        <v>282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8" ht="15">
      <c r="A5" s="100" t="s">
        <v>283</v>
      </c>
      <c r="B5" s="100" t="s">
        <v>3</v>
      </c>
      <c r="C5" s="100" t="s">
        <v>284</v>
      </c>
      <c r="D5" s="100" t="s">
        <v>285</v>
      </c>
      <c r="E5" s="100" t="s">
        <v>286</v>
      </c>
      <c r="F5" s="100" t="s">
        <v>24</v>
      </c>
      <c r="G5" s="101" t="s">
        <v>287</v>
      </c>
      <c r="H5" s="101"/>
    </row>
    <row r="6" spans="1:8" ht="15">
      <c r="A6" s="82">
        <v>1469</v>
      </c>
      <c r="B6" s="82">
        <v>1311</v>
      </c>
      <c r="C6" s="102">
        <v>40557</v>
      </c>
      <c r="D6" s="82">
        <v>243</v>
      </c>
      <c r="E6" s="83" t="s">
        <v>288</v>
      </c>
      <c r="F6" s="83" t="s">
        <v>289</v>
      </c>
      <c r="G6" s="103">
        <v>1883.14</v>
      </c>
      <c r="H6" s="103"/>
    </row>
    <row r="7" spans="1:8" ht="15">
      <c r="A7" s="82">
        <v>1467</v>
      </c>
      <c r="B7" s="82">
        <v>1312</v>
      </c>
      <c r="C7" s="102">
        <v>40557</v>
      </c>
      <c r="D7" s="82">
        <v>242</v>
      </c>
      <c r="E7" s="83" t="s">
        <v>288</v>
      </c>
      <c r="F7" s="83" t="s">
        <v>290</v>
      </c>
      <c r="G7" s="103">
        <v>3168</v>
      </c>
      <c r="H7" s="103"/>
    </row>
    <row r="8" spans="1:8" ht="15">
      <c r="A8" s="82">
        <v>1465</v>
      </c>
      <c r="B8" s="82">
        <v>1313</v>
      </c>
      <c r="C8" s="102">
        <v>40553</v>
      </c>
      <c r="D8" s="82">
        <v>241</v>
      </c>
      <c r="E8" s="83" t="s">
        <v>288</v>
      </c>
      <c r="F8" s="83" t="s">
        <v>291</v>
      </c>
      <c r="G8" s="103">
        <v>55.13</v>
      </c>
      <c r="H8" s="103"/>
    </row>
    <row r="9" spans="1:8" ht="15">
      <c r="A9" s="82">
        <v>1269</v>
      </c>
      <c r="B9" s="82">
        <v>1316</v>
      </c>
      <c r="C9" s="102">
        <v>40733</v>
      </c>
      <c r="D9" s="82">
        <v>153</v>
      </c>
      <c r="E9" s="83" t="s">
        <v>288</v>
      </c>
      <c r="F9" s="83" t="s">
        <v>292</v>
      </c>
      <c r="G9" s="103">
        <v>517.25</v>
      </c>
      <c r="H9" s="103"/>
    </row>
    <row r="10" spans="1:8" ht="15">
      <c r="A10" s="82">
        <v>1271</v>
      </c>
      <c r="B10" s="82">
        <v>1316</v>
      </c>
      <c r="C10" s="102">
        <v>40733</v>
      </c>
      <c r="D10" s="82">
        <v>155</v>
      </c>
      <c r="E10" s="83" t="s">
        <v>288</v>
      </c>
      <c r="F10" s="83" t="s">
        <v>293</v>
      </c>
      <c r="G10" s="103">
        <v>100</v>
      </c>
      <c r="H10" s="103"/>
    </row>
    <row r="11" spans="1:8" ht="15">
      <c r="A11" s="82">
        <v>1273</v>
      </c>
      <c r="B11" s="82">
        <v>1353</v>
      </c>
      <c r="C11" s="102">
        <v>40733</v>
      </c>
      <c r="D11" s="82">
        <v>154</v>
      </c>
      <c r="E11" s="83" t="s">
        <v>288</v>
      </c>
      <c r="F11" s="83" t="s">
        <v>294</v>
      </c>
      <c r="G11" s="103">
        <v>578.57</v>
      </c>
      <c r="H11" s="103"/>
    </row>
    <row r="12" spans="1:8" ht="15">
      <c r="A12" s="82">
        <v>1487</v>
      </c>
      <c r="B12" s="82">
        <v>1470</v>
      </c>
      <c r="C12" s="102">
        <v>40574</v>
      </c>
      <c r="D12" s="82">
        <v>249</v>
      </c>
      <c r="E12" s="83" t="s">
        <v>288</v>
      </c>
      <c r="F12" s="83" t="s">
        <v>295</v>
      </c>
      <c r="G12" s="103">
        <v>164</v>
      </c>
      <c r="H12" s="103"/>
    </row>
    <row r="13" spans="1:8" ht="15">
      <c r="A13" s="82">
        <v>1471</v>
      </c>
      <c r="B13" s="82">
        <v>3430</v>
      </c>
      <c r="C13" s="102">
        <v>40574</v>
      </c>
      <c r="D13" s="82">
        <v>244</v>
      </c>
      <c r="E13" s="83" t="s">
        <v>288</v>
      </c>
      <c r="F13" s="83" t="s">
        <v>296</v>
      </c>
      <c r="G13" s="103">
        <v>225.63</v>
      </c>
      <c r="H13" s="103"/>
    </row>
    <row r="14" spans="1:8" ht="15">
      <c r="A14" s="82">
        <v>1493</v>
      </c>
      <c r="B14" s="82">
        <v>3720</v>
      </c>
      <c r="C14" s="102">
        <v>40555</v>
      </c>
      <c r="D14" s="82">
        <v>252</v>
      </c>
      <c r="E14" s="83" t="s">
        <v>288</v>
      </c>
      <c r="F14" s="83" t="s">
        <v>297</v>
      </c>
      <c r="G14" s="132">
        <v>10367.19</v>
      </c>
      <c r="H14" s="103"/>
    </row>
    <row r="15" ht="13.5" thickBot="1">
      <c r="G15" s="133">
        <f>SUM(G6:G14)</f>
        <v>17058.91</v>
      </c>
    </row>
    <row r="16" ht="11.25" customHeight="1" thickTop="1"/>
    <row r="17" spans="1:8" ht="15">
      <c r="A17" s="82"/>
      <c r="B17" s="82"/>
      <c r="C17" s="102"/>
      <c r="D17" s="82"/>
      <c r="E17" s="83"/>
      <c r="F17" s="83"/>
      <c r="G17" s="103"/>
      <c r="H17" s="103"/>
    </row>
    <row r="18" spans="1:8" ht="15.75" customHeight="1">
      <c r="A18" s="82"/>
      <c r="B18" s="82"/>
      <c r="C18" s="102"/>
      <c r="D18" s="82"/>
      <c r="E18" s="83"/>
      <c r="F18" s="83"/>
      <c r="G18" s="103"/>
      <c r="H18" s="103"/>
    </row>
    <row r="19" spans="1:8" ht="15">
      <c r="A19" s="82"/>
      <c r="B19" s="82"/>
      <c r="C19" s="102"/>
      <c r="D19" s="82"/>
      <c r="E19" s="83"/>
      <c r="F19" s="83"/>
      <c r="G19" s="103"/>
      <c r="H19" s="103"/>
    </row>
    <row r="20" spans="1:8" ht="15">
      <c r="A20" s="82"/>
      <c r="B20" s="82"/>
      <c r="C20" s="102"/>
      <c r="D20" s="82"/>
      <c r="E20" s="83"/>
      <c r="F20" s="83"/>
      <c r="G20" s="103"/>
      <c r="H20" s="103"/>
    </row>
    <row r="21" spans="1:8" ht="15">
      <c r="A21" s="82"/>
      <c r="B21" s="82"/>
      <c r="C21" s="102"/>
      <c r="D21" s="82"/>
      <c r="E21" s="83"/>
      <c r="F21" s="83"/>
      <c r="G21" s="103"/>
      <c r="H21" s="103"/>
    </row>
    <row r="22" spans="1:8" ht="15.75">
      <c r="A22" s="82"/>
      <c r="B22" s="82"/>
      <c r="C22" s="102"/>
      <c r="D22" s="82"/>
      <c r="E22" s="83"/>
      <c r="F22" s="83"/>
      <c r="G22" s="105"/>
      <c r="H22" s="103"/>
    </row>
    <row r="23" ht="12.75">
      <c r="G23" s="104"/>
    </row>
    <row r="25" ht="12.75">
      <c r="G25" s="106"/>
    </row>
    <row r="26" spans="1:8" ht="15.75">
      <c r="A26" s="82"/>
      <c r="B26" s="82"/>
      <c r="C26" s="102"/>
      <c r="D26" s="82"/>
      <c r="E26" s="83"/>
      <c r="F26" s="83"/>
      <c r="G26" s="105"/>
      <c r="H26" s="103"/>
    </row>
    <row r="27" spans="1:8" ht="15">
      <c r="A27" s="82"/>
      <c r="B27" s="82"/>
      <c r="C27" s="102"/>
      <c r="D27" s="82"/>
      <c r="E27" s="83"/>
      <c r="F27" s="83"/>
      <c r="G27" s="103"/>
      <c r="H27" s="103"/>
    </row>
    <row r="28" spans="1:8" ht="15">
      <c r="A28" s="82"/>
      <c r="B28" s="82"/>
      <c r="C28" s="102"/>
      <c r="D28" s="82"/>
      <c r="E28" s="83"/>
      <c r="F28" s="83"/>
      <c r="G28" s="103"/>
      <c r="H28" s="103"/>
    </row>
    <row r="29" spans="1:8" ht="15">
      <c r="A29" s="82"/>
      <c r="B29" s="82"/>
      <c r="C29" s="102"/>
      <c r="D29" s="82"/>
      <c r="E29" s="83"/>
      <c r="F29" s="83"/>
      <c r="G29" s="103"/>
      <c r="H29" s="103"/>
    </row>
    <row r="30" spans="1:8" ht="15">
      <c r="A30" s="82"/>
      <c r="B30" s="82"/>
      <c r="C30" s="102"/>
      <c r="D30" s="82"/>
      <c r="E30" s="83"/>
      <c r="F30" s="83"/>
      <c r="G30" s="103"/>
      <c r="H30" s="103"/>
    </row>
    <row r="31" spans="1:8" ht="15">
      <c r="A31" s="82"/>
      <c r="B31" s="82"/>
      <c r="C31" s="102"/>
      <c r="D31" s="82"/>
      <c r="E31" s="83"/>
      <c r="F31" s="83"/>
      <c r="G31" s="103"/>
      <c r="H31" s="103"/>
    </row>
    <row r="32" spans="1:8" ht="15">
      <c r="A32" s="82"/>
      <c r="B32" s="82"/>
      <c r="C32" s="102"/>
      <c r="D32" s="82"/>
      <c r="E32" s="83"/>
      <c r="F32" s="83"/>
      <c r="G32" s="103"/>
      <c r="H32" s="103"/>
    </row>
    <row r="33" spans="1:8" ht="15">
      <c r="A33" s="82"/>
      <c r="B33" s="82"/>
      <c r="C33" s="102"/>
      <c r="D33" s="82"/>
      <c r="E33" s="83"/>
      <c r="F33" s="83"/>
      <c r="G33" s="103"/>
      <c r="H33" s="103"/>
    </row>
    <row r="34" spans="1:8" ht="15">
      <c r="A34" s="82"/>
      <c r="B34" s="82"/>
      <c r="C34" s="102"/>
      <c r="D34" s="82"/>
      <c r="E34" s="83"/>
      <c r="F34" s="83"/>
      <c r="G34" s="103"/>
      <c r="H34" s="103"/>
    </row>
    <row r="35" spans="1:8" ht="15">
      <c r="A35" s="82"/>
      <c r="B35" s="82"/>
      <c r="C35" s="102"/>
      <c r="D35" s="82"/>
      <c r="E35" s="83"/>
      <c r="F35" s="83"/>
      <c r="G35" s="103"/>
      <c r="H35" s="103"/>
    </row>
    <row r="36" spans="1:8" ht="15">
      <c r="A36" s="82"/>
      <c r="B36" s="82"/>
      <c r="C36" s="102"/>
      <c r="D36" s="82"/>
      <c r="E36" s="83"/>
      <c r="F36" s="83"/>
      <c r="G36" s="103"/>
      <c r="H36" s="103"/>
    </row>
    <row r="37" spans="1:8" ht="15">
      <c r="A37" s="82"/>
      <c r="B37" s="82"/>
      <c r="C37" s="102"/>
      <c r="D37" s="82"/>
      <c r="E37" s="83"/>
      <c r="F37" s="83"/>
      <c r="G37" s="103"/>
      <c r="H37" s="103"/>
    </row>
    <row r="38" spans="1:8" ht="15">
      <c r="A38" s="82"/>
      <c r="B38" s="82"/>
      <c r="C38" s="102"/>
      <c r="D38" s="82"/>
      <c r="E38" s="83"/>
      <c r="F38" s="83"/>
      <c r="G38" s="103"/>
      <c r="H38" s="103"/>
    </row>
    <row r="39" spans="1:8" ht="15">
      <c r="A39" s="82"/>
      <c r="B39" s="82"/>
      <c r="C39" s="102"/>
      <c r="D39" s="82"/>
      <c r="E39" s="83"/>
      <c r="F39" s="83"/>
      <c r="G39" s="103"/>
      <c r="H39" s="103"/>
    </row>
    <row r="40" spans="1:8" ht="15">
      <c r="A40" s="82"/>
      <c r="B40" s="82"/>
      <c r="C40" s="102"/>
      <c r="D40" s="82"/>
      <c r="E40" s="83"/>
      <c r="F40" s="83"/>
      <c r="G40" s="103"/>
      <c r="H40" s="103"/>
    </row>
    <row r="41" spans="1:8" ht="15">
      <c r="A41" s="82"/>
      <c r="B41" s="82"/>
      <c r="C41" s="102"/>
      <c r="D41" s="82"/>
      <c r="E41" s="83"/>
      <c r="F41" s="83"/>
      <c r="G41" s="103"/>
      <c r="H41" s="103"/>
    </row>
    <row r="42" spans="1:8" ht="15">
      <c r="A42" s="82"/>
      <c r="B42" s="82"/>
      <c r="C42" s="102"/>
      <c r="D42" s="82"/>
      <c r="E42" s="83"/>
      <c r="F42" s="83"/>
      <c r="G42" s="103"/>
      <c r="H42" s="103"/>
    </row>
    <row r="45" spans="1:8" ht="15">
      <c r="A45" s="82"/>
      <c r="B45" s="82"/>
      <c r="C45" s="102"/>
      <c r="D45" s="82"/>
      <c r="E45" s="83"/>
      <c r="F45" s="83"/>
      <c r="G45" s="103"/>
      <c r="H45" s="103"/>
    </row>
    <row r="46" spans="1:8" ht="15">
      <c r="A46" s="82"/>
      <c r="B46" s="82"/>
      <c r="C46" s="102"/>
      <c r="D46" s="82"/>
      <c r="E46" s="83"/>
      <c r="F46" s="83"/>
      <c r="G46" s="103"/>
      <c r="H46" s="103"/>
    </row>
    <row r="47" spans="1:8" ht="15">
      <c r="A47" s="82"/>
      <c r="B47" s="82"/>
      <c r="C47" s="102"/>
      <c r="D47" s="82"/>
      <c r="E47" s="83"/>
      <c r="F47" s="83"/>
      <c r="G47" s="103"/>
      <c r="H47" s="103"/>
    </row>
    <row r="48" spans="1:8" ht="15">
      <c r="A48" s="82"/>
      <c r="B48" s="82"/>
      <c r="C48" s="102"/>
      <c r="D48" s="82"/>
      <c r="E48" s="83"/>
      <c r="F48" s="83"/>
      <c r="G48" s="103"/>
      <c r="H48" s="103"/>
    </row>
    <row r="49" spans="1:8" ht="15">
      <c r="A49" s="82"/>
      <c r="B49" s="82"/>
      <c r="C49" s="102"/>
      <c r="D49" s="82"/>
      <c r="E49" s="83"/>
      <c r="F49" s="83"/>
      <c r="G49" s="103"/>
      <c r="H49" s="103"/>
    </row>
    <row r="50" spans="1:8" ht="15">
      <c r="A50" s="82"/>
      <c r="B50" s="82"/>
      <c r="C50" s="102"/>
      <c r="D50" s="82"/>
      <c r="E50" s="83"/>
      <c r="F50" s="83"/>
      <c r="G50" s="103"/>
      <c r="H50" s="103"/>
    </row>
    <row r="51" spans="1:8" ht="15">
      <c r="A51" s="82"/>
      <c r="B51" s="82"/>
      <c r="C51" s="102"/>
      <c r="D51" s="82"/>
      <c r="E51" s="83"/>
      <c r="F51" s="83"/>
      <c r="G51" s="103"/>
      <c r="H51" s="103"/>
    </row>
    <row r="55" spans="1:8" ht="15">
      <c r="A55" s="82"/>
      <c r="B55" s="82"/>
      <c r="C55" s="102"/>
      <c r="D55" s="82"/>
      <c r="E55" s="83"/>
      <c r="F55" s="83"/>
      <c r="G55" s="103"/>
      <c r="H55" s="103"/>
    </row>
    <row r="56" spans="1:8" ht="15">
      <c r="A56" s="82"/>
      <c r="B56" s="82"/>
      <c r="C56" s="102"/>
      <c r="D56" s="82"/>
      <c r="E56" s="83"/>
      <c r="F56" s="83"/>
      <c r="G56" s="103"/>
      <c r="H56" s="103"/>
    </row>
    <row r="57" spans="1:8" ht="15">
      <c r="A57" s="82"/>
      <c r="B57" s="82"/>
      <c r="C57" s="102"/>
      <c r="D57" s="82"/>
      <c r="E57" s="83"/>
      <c r="F57" s="83"/>
      <c r="G57" s="103"/>
      <c r="H57" s="103"/>
    </row>
    <row r="58" spans="1:8" ht="15">
      <c r="A58" s="82"/>
      <c r="B58" s="82"/>
      <c r="C58" s="102"/>
      <c r="D58" s="82"/>
      <c r="E58" s="83"/>
      <c r="F58" s="83"/>
      <c r="G58" s="103"/>
      <c r="H58" s="103"/>
    </row>
    <row r="59" spans="1:8" ht="15">
      <c r="A59" s="82"/>
      <c r="B59" s="82"/>
      <c r="C59" s="102"/>
      <c r="D59" s="82"/>
      <c r="E59" s="83"/>
      <c r="F59" s="83"/>
      <c r="G59" s="103"/>
      <c r="H59" s="103"/>
    </row>
    <row r="60" spans="1:8" ht="15">
      <c r="A60" s="82"/>
      <c r="B60" s="82"/>
      <c r="C60" s="102"/>
      <c r="D60" s="82"/>
      <c r="E60" s="83"/>
      <c r="F60" s="83"/>
      <c r="G60" s="103"/>
      <c r="H60" s="103"/>
    </row>
    <row r="61" spans="1:8" ht="15">
      <c r="A61" s="82"/>
      <c r="B61" s="82"/>
      <c r="C61" s="102"/>
      <c r="D61" s="82"/>
      <c r="E61" s="83"/>
      <c r="F61" s="83"/>
      <c r="G61" s="103"/>
      <c r="H61" s="103"/>
    </row>
    <row r="62" spans="1:8" ht="15">
      <c r="A62" s="82"/>
      <c r="B62" s="82"/>
      <c r="C62" s="102"/>
      <c r="D62" s="82"/>
      <c r="E62" s="83"/>
      <c r="F62" s="83"/>
      <c r="G62" s="103"/>
      <c r="H62" s="103"/>
    </row>
    <row r="63" spans="1:8" ht="15">
      <c r="A63" s="82"/>
      <c r="B63" s="82"/>
      <c r="C63" s="102"/>
      <c r="D63" s="82"/>
      <c r="E63" s="83"/>
      <c r="F63" s="83"/>
      <c r="G63" s="103"/>
      <c r="H63" s="103"/>
    </row>
    <row r="64" ht="12.75">
      <c r="G64" s="104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34.57421875" style="0" customWidth="1"/>
    <col min="3" max="3" width="9.28125" style="0" bestFit="1" customWidth="1"/>
    <col min="5" max="5" width="11.140625" style="0" bestFit="1" customWidth="1"/>
    <col min="6" max="6" width="9.28125" style="0" bestFit="1" customWidth="1"/>
  </cols>
  <sheetData>
    <row r="1" spans="1:8" ht="12.75">
      <c r="A1" s="115" t="s">
        <v>341</v>
      </c>
      <c r="B1" s="124" t="s">
        <v>340</v>
      </c>
      <c r="C1" s="124" t="s">
        <v>339</v>
      </c>
      <c r="D1" s="124" t="s">
        <v>337</v>
      </c>
      <c r="E1" s="124" t="s">
        <v>338</v>
      </c>
      <c r="F1" s="124" t="s">
        <v>342</v>
      </c>
      <c r="G1" s="124" t="s">
        <v>343</v>
      </c>
      <c r="H1" s="124" t="s">
        <v>99</v>
      </c>
    </row>
    <row r="2" spans="1:7" ht="12.75">
      <c r="A2" s="119" t="s">
        <v>336</v>
      </c>
      <c r="B2" s="118">
        <v>12</v>
      </c>
      <c r="C2" s="125">
        <v>183.18</v>
      </c>
      <c r="D2" s="122">
        <f aca="true" t="shared" si="0" ref="D2:D9">B2*C2</f>
        <v>2198.16</v>
      </c>
      <c r="E2" s="122">
        <f>D2*1.25</f>
        <v>2747.7</v>
      </c>
      <c r="F2" s="122"/>
      <c r="G2" s="118"/>
    </row>
    <row r="3" spans="1:7" ht="12.75">
      <c r="A3" s="119" t="s">
        <v>329</v>
      </c>
      <c r="B3" s="118">
        <v>1</v>
      </c>
      <c r="C3" s="122">
        <v>362.53</v>
      </c>
      <c r="D3" s="122">
        <f>B3*C3</f>
        <v>362.53</v>
      </c>
      <c r="E3" s="122">
        <f>D3*1.25</f>
        <v>453.16249999999997</v>
      </c>
      <c r="F3" s="122"/>
      <c r="G3" s="122"/>
    </row>
    <row r="4" spans="1:7" ht="12.75">
      <c r="A4" s="119" t="s">
        <v>335</v>
      </c>
      <c r="B4" s="118">
        <v>25</v>
      </c>
      <c r="C4" s="125">
        <v>448.8</v>
      </c>
      <c r="D4" s="122">
        <f t="shared" si="0"/>
        <v>11220</v>
      </c>
      <c r="E4" s="122">
        <f aca="true" t="shared" si="1" ref="E4:E18">D4*1.25</f>
        <v>14025</v>
      </c>
      <c r="F4" s="122"/>
      <c r="G4" s="118"/>
    </row>
    <row r="5" spans="1:7" ht="12.75">
      <c r="A5" s="119" t="s">
        <v>328</v>
      </c>
      <c r="B5" s="118">
        <v>25</v>
      </c>
      <c r="C5" s="125">
        <v>15</v>
      </c>
      <c r="D5" s="122">
        <f t="shared" si="0"/>
        <v>375</v>
      </c>
      <c r="E5" s="122">
        <f t="shared" si="1"/>
        <v>468.75</v>
      </c>
      <c r="F5" s="122"/>
      <c r="G5" s="118"/>
    </row>
    <row r="6" spans="1:7" ht="12.75">
      <c r="A6" s="119" t="s">
        <v>325</v>
      </c>
      <c r="B6" s="118">
        <v>25</v>
      </c>
      <c r="C6" s="122">
        <v>26.5</v>
      </c>
      <c r="D6" s="122">
        <f t="shared" si="0"/>
        <v>662.5</v>
      </c>
      <c r="E6" s="122">
        <f t="shared" si="1"/>
        <v>828.125</v>
      </c>
      <c r="F6" s="122"/>
      <c r="G6" s="118"/>
    </row>
    <row r="7" spans="1:7" ht="12.75">
      <c r="A7" s="119" t="s">
        <v>326</v>
      </c>
      <c r="B7" s="118">
        <v>25</v>
      </c>
      <c r="C7" s="122">
        <v>26.5</v>
      </c>
      <c r="D7" s="122">
        <f t="shared" si="0"/>
        <v>662.5</v>
      </c>
      <c r="E7" s="122">
        <f t="shared" si="1"/>
        <v>828.125</v>
      </c>
      <c r="F7" s="122"/>
      <c r="G7" s="118"/>
    </row>
    <row r="8" spans="1:7" ht="12.75">
      <c r="A8" s="119" t="s">
        <v>334</v>
      </c>
      <c r="B8" s="118">
        <v>25</v>
      </c>
      <c r="C8" s="125">
        <v>40</v>
      </c>
      <c r="D8" s="122">
        <f t="shared" si="0"/>
        <v>1000</v>
      </c>
      <c r="E8" s="122">
        <f t="shared" si="1"/>
        <v>1250</v>
      </c>
      <c r="F8" s="122"/>
      <c r="G8" s="118"/>
    </row>
    <row r="9" spans="1:7" ht="12.75">
      <c r="A9" s="120" t="s">
        <v>333</v>
      </c>
      <c r="B9" s="121">
        <v>25</v>
      </c>
      <c r="C9" s="123">
        <v>454</v>
      </c>
      <c r="D9" s="123">
        <f t="shared" si="0"/>
        <v>11350</v>
      </c>
      <c r="E9" s="122">
        <f t="shared" si="1"/>
        <v>14187.5</v>
      </c>
      <c r="F9" s="122"/>
      <c r="G9" s="118"/>
    </row>
    <row r="10" spans="1:8" ht="13.5" thickBot="1">
      <c r="A10" s="119" t="s">
        <v>330</v>
      </c>
      <c r="B10" s="118"/>
      <c r="C10" s="122"/>
      <c r="D10" s="122">
        <f>SUM(D2:D9)</f>
        <v>27830.69</v>
      </c>
      <c r="E10" s="126">
        <f t="shared" si="1"/>
        <v>34788.362499999996</v>
      </c>
      <c r="F10" s="126">
        <f>E10/6/25</f>
        <v>231.92241666666666</v>
      </c>
      <c r="G10" s="126">
        <f>12*F10</f>
        <v>2783.069</v>
      </c>
      <c r="H10" s="126">
        <f>2*F10</f>
        <v>463.8448333333333</v>
      </c>
    </row>
    <row r="11" spans="1:7" ht="13.5" thickTop="1">
      <c r="A11" s="119"/>
      <c r="B11" s="118"/>
      <c r="C11" s="122"/>
      <c r="D11" s="122"/>
      <c r="E11" s="122"/>
      <c r="F11" s="122"/>
      <c r="G11" s="122"/>
    </row>
    <row r="12" spans="1:7" ht="12.75">
      <c r="A12" s="119" t="s">
        <v>335</v>
      </c>
      <c r="B12" s="118">
        <v>1</v>
      </c>
      <c r="C12" s="125">
        <v>448.8</v>
      </c>
      <c r="D12" s="122">
        <f>B12*C12</f>
        <v>448.8</v>
      </c>
      <c r="E12" s="122">
        <f t="shared" si="1"/>
        <v>561</v>
      </c>
      <c r="F12" s="122"/>
      <c r="G12" s="118"/>
    </row>
    <row r="13" spans="1:7" ht="12.75">
      <c r="A13" s="120" t="s">
        <v>336</v>
      </c>
      <c r="B13" s="121">
        <v>1</v>
      </c>
      <c r="C13" s="127">
        <v>183.18</v>
      </c>
      <c r="D13" s="123">
        <f>B13*C13</f>
        <v>183.18</v>
      </c>
      <c r="E13" s="123">
        <f>D13*1.25</f>
        <v>228.97500000000002</v>
      </c>
      <c r="F13" s="123"/>
      <c r="G13" s="121"/>
    </row>
    <row r="14" spans="1:8" ht="13.5" thickBot="1">
      <c r="A14" s="119" t="s">
        <v>345</v>
      </c>
      <c r="B14" s="118"/>
      <c r="C14" s="125"/>
      <c r="D14" s="122"/>
      <c r="E14" s="126">
        <f>SUM(E12:E13)</f>
        <v>789.975</v>
      </c>
      <c r="F14" s="126">
        <f>E14/6</f>
        <v>131.6625</v>
      </c>
      <c r="G14" s="126">
        <f>2*E14</f>
        <v>1579.95</v>
      </c>
      <c r="H14" s="126">
        <f>2*F14</f>
        <v>263.325</v>
      </c>
    </row>
    <row r="15" spans="1:7" ht="13.5" thickTop="1">
      <c r="A15" s="119"/>
      <c r="B15" s="118"/>
      <c r="C15" s="125"/>
      <c r="D15" s="122"/>
      <c r="E15" s="122"/>
      <c r="F15" s="122"/>
      <c r="G15" s="118"/>
    </row>
    <row r="16" spans="1:7" ht="12.75">
      <c r="A16" s="119" t="s">
        <v>327</v>
      </c>
      <c r="B16" s="118">
        <v>1</v>
      </c>
      <c r="C16" s="122">
        <v>1328.55</v>
      </c>
      <c r="D16" s="122">
        <f>B16*C16</f>
        <v>1328.55</v>
      </c>
      <c r="E16" s="122">
        <f>D16*1.25</f>
        <v>1660.6875</v>
      </c>
      <c r="F16" s="122"/>
      <c r="G16" s="122"/>
    </row>
    <row r="17" spans="1:7" ht="12.75">
      <c r="A17" s="120" t="s">
        <v>331</v>
      </c>
      <c r="B17" s="121">
        <v>1</v>
      </c>
      <c r="C17" s="123">
        <v>2620.98</v>
      </c>
      <c r="D17" s="123">
        <f>B17*C17</f>
        <v>2620.98</v>
      </c>
      <c r="E17" s="123">
        <f t="shared" si="1"/>
        <v>3276.225</v>
      </c>
      <c r="F17" s="123"/>
      <c r="G17" s="123"/>
    </row>
    <row r="18" spans="1:8" ht="13.5" thickBot="1">
      <c r="A18" s="119" t="s">
        <v>332</v>
      </c>
      <c r="B18" s="118"/>
      <c r="C18" s="122"/>
      <c r="D18" s="122">
        <f>SUM(D16:D17)</f>
        <v>3949.5299999999997</v>
      </c>
      <c r="E18" s="126">
        <f t="shared" si="1"/>
        <v>4936.912499999999</v>
      </c>
      <c r="F18" s="126">
        <f>E18/6</f>
        <v>822.8187499999999</v>
      </c>
      <c r="G18" s="126">
        <f>2*E18</f>
        <v>9873.824999999999</v>
      </c>
      <c r="H18" s="126">
        <f>2*F18</f>
        <v>1645.6374999999998</v>
      </c>
    </row>
    <row r="19" spans="1:7" ht="13.5" thickTop="1">
      <c r="A19" s="118"/>
      <c r="B19" s="118"/>
      <c r="C19" s="122"/>
      <c r="D19" s="122"/>
      <c r="E19" s="122"/>
      <c r="F19" s="122"/>
      <c r="G19" s="118"/>
    </row>
    <row r="20" spans="1:7" ht="12.75">
      <c r="A20" s="118"/>
      <c r="B20" s="118"/>
      <c r="C20" s="122"/>
      <c r="D20" s="122"/>
      <c r="E20" s="122"/>
      <c r="F20" s="122"/>
      <c r="G20" s="118"/>
    </row>
    <row r="21" spans="1:7" ht="12.75">
      <c r="A21" s="119" t="s">
        <v>344</v>
      </c>
      <c r="B21" s="118"/>
      <c r="C21" s="122"/>
      <c r="D21" s="122"/>
      <c r="E21" s="122">
        <f>E10+E18+E14</f>
        <v>40515.24999999999</v>
      </c>
      <c r="F21" s="122"/>
      <c r="G21" s="118"/>
    </row>
    <row r="24" spans="1:5" ht="12.75">
      <c r="A24" t="s">
        <v>346</v>
      </c>
      <c r="E24">
        <v>1263.51</v>
      </c>
    </row>
    <row r="25" spans="1:8" ht="13.5" thickBot="1">
      <c r="A25" s="111" t="s">
        <v>347</v>
      </c>
      <c r="B25" s="111"/>
      <c r="C25" s="111"/>
      <c r="D25" s="111"/>
      <c r="E25" s="128">
        <f>E14</f>
        <v>789.975</v>
      </c>
      <c r="F25" s="126">
        <f>E25/6</f>
        <v>131.6625</v>
      </c>
      <c r="G25" s="126">
        <f>2*E25</f>
        <v>1579.95</v>
      </c>
      <c r="H25" s="126">
        <f>2*F25</f>
        <v>263.325</v>
      </c>
    </row>
    <row r="26" spans="5:8" ht="14.25" thickBot="1" thickTop="1">
      <c r="E26" s="126">
        <f>SUM(E24:E25)</f>
        <v>2053.485</v>
      </c>
      <c r="F26" s="126">
        <f>E26/6</f>
        <v>342.2475</v>
      </c>
      <c r="G26" s="126">
        <f>2*E26</f>
        <v>4106.97</v>
      </c>
      <c r="H26" s="126">
        <f>2*F26</f>
        <v>684.495</v>
      </c>
    </row>
    <row r="27" ht="13.5" thickTop="1"/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27.00390625" style="0" customWidth="1"/>
  </cols>
  <sheetData>
    <row r="1" s="115" customFormat="1" ht="12.75">
      <c r="A1" s="115" t="s">
        <v>354</v>
      </c>
    </row>
    <row r="2" spans="3:6" ht="12.75">
      <c r="C2" s="124" t="s">
        <v>355</v>
      </c>
      <c r="D2" s="124" t="s">
        <v>342</v>
      </c>
      <c r="E2" s="124" t="s">
        <v>356</v>
      </c>
      <c r="F2" s="124" t="s">
        <v>99</v>
      </c>
    </row>
    <row r="4" spans="1:2" ht="12.75">
      <c r="A4" t="s">
        <v>348</v>
      </c>
      <c r="B4" s="20">
        <f>(B19-B21+B22)*0.037*9/12</f>
        <v>4829.36025</v>
      </c>
    </row>
    <row r="5" spans="1:2" ht="12.75">
      <c r="A5" t="s">
        <v>349</v>
      </c>
      <c r="B5" s="20">
        <v>7100</v>
      </c>
    </row>
    <row r="6" spans="1:6" ht="12.75">
      <c r="A6" s="111" t="s">
        <v>350</v>
      </c>
      <c r="B6" s="112">
        <f>(408+5585+354+700)</f>
        <v>7047</v>
      </c>
      <c r="C6" s="111"/>
      <c r="D6" s="111"/>
      <c r="E6" s="111"/>
      <c r="F6" s="111"/>
    </row>
    <row r="7" spans="1:6" ht="13.5" thickBot="1">
      <c r="A7" t="s">
        <v>351</v>
      </c>
      <c r="B7" s="20">
        <f>SUM(B4:B6)</f>
        <v>18976.360249999998</v>
      </c>
      <c r="C7" s="130">
        <f>B7/2</f>
        <v>9488.180124999999</v>
      </c>
      <c r="D7" s="130">
        <f>C7/6/25</f>
        <v>63.254534166666666</v>
      </c>
      <c r="E7" s="130">
        <f>12*D7</f>
        <v>759.05441</v>
      </c>
      <c r="F7" s="130">
        <f>2*D7</f>
        <v>126.50906833333333</v>
      </c>
    </row>
    <row r="8" ht="13.5" thickTop="1"/>
    <row r="9" spans="1:2" ht="12.75">
      <c r="A9" t="s">
        <v>352</v>
      </c>
      <c r="B9" s="20">
        <f>4*6400+2*7100</f>
        <v>39800</v>
      </c>
    </row>
    <row r="10" spans="3:6" ht="12.75">
      <c r="C10" s="131"/>
      <c r="D10" s="131"/>
      <c r="E10" s="131"/>
      <c r="F10" s="131"/>
    </row>
    <row r="11" spans="1:6" ht="13.5" thickBot="1">
      <c r="A11" s="119" t="s">
        <v>353</v>
      </c>
      <c r="B11" s="20">
        <f>B9-B7</f>
        <v>20823.639750000002</v>
      </c>
      <c r="C11" s="130">
        <f>B11/2</f>
        <v>10411.819875000001</v>
      </c>
      <c r="D11" s="130">
        <f>C11/6/25</f>
        <v>69.41213250000001</v>
      </c>
      <c r="E11" s="130">
        <f>12*D11</f>
        <v>832.9455900000002</v>
      </c>
      <c r="F11" s="130">
        <f>2*D11</f>
        <v>138.82426500000003</v>
      </c>
    </row>
    <row r="12" ht="13.5" thickTop="1"/>
    <row r="14" ht="12.75">
      <c r="A14" t="s">
        <v>358</v>
      </c>
    </row>
    <row r="15" spans="1:2" ht="12.75">
      <c r="A15" s="134" t="s">
        <v>362</v>
      </c>
      <c r="B15" s="20">
        <v>145700</v>
      </c>
    </row>
    <row r="16" spans="1:2" ht="12.75">
      <c r="A16" s="134" t="s">
        <v>359</v>
      </c>
      <c r="B16" s="20">
        <v>275000</v>
      </c>
    </row>
    <row r="17" spans="1:2" ht="12.75">
      <c r="A17" s="134" t="s">
        <v>360</v>
      </c>
      <c r="B17" s="135">
        <v>14000</v>
      </c>
    </row>
    <row r="18" spans="1:2" ht="12.75">
      <c r="A18" s="134" t="s">
        <v>361</v>
      </c>
      <c r="B18" s="112">
        <v>22000</v>
      </c>
    </row>
    <row r="19" ht="12.75">
      <c r="B19" s="20">
        <f>SUM(B15:B18)</f>
        <v>456700</v>
      </c>
    </row>
    <row r="21" spans="1:2" ht="12.75">
      <c r="A21" t="s">
        <v>363</v>
      </c>
      <c r="B21" s="20">
        <v>300000</v>
      </c>
    </row>
    <row r="22" spans="1:2" ht="12.75">
      <c r="A22" s="136" t="s">
        <v>364</v>
      </c>
      <c r="B22" s="20">
        <v>17331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6">
      <selection activeCell="A52" sqref="A52"/>
    </sheetView>
  </sheetViews>
  <sheetFormatPr defaultColWidth="9.140625" defaultRowHeight="12.75"/>
  <cols>
    <col min="1" max="1" width="14.57421875" style="0" bestFit="1" customWidth="1"/>
  </cols>
  <sheetData>
    <row r="1" spans="2:3" ht="12.75">
      <c r="B1">
        <v>2010</v>
      </c>
      <c r="C1" t="s">
        <v>311</v>
      </c>
    </row>
    <row r="3" s="110" customFormat="1" ht="17.25">
      <c r="A3" s="110" t="s">
        <v>307</v>
      </c>
    </row>
    <row r="4" spans="1:2" ht="12.75">
      <c r="A4" t="s">
        <v>302</v>
      </c>
      <c r="B4" s="20">
        <v>947432</v>
      </c>
    </row>
    <row r="5" ht="12.75">
      <c r="B5" s="20"/>
    </row>
    <row r="6" spans="1:2" ht="12.75">
      <c r="A6" t="s">
        <v>304</v>
      </c>
      <c r="B6" s="20"/>
    </row>
    <row r="7" spans="1:2" ht="12.75">
      <c r="A7" t="s">
        <v>308</v>
      </c>
      <c r="B7" s="20">
        <v>127680</v>
      </c>
    </row>
    <row r="8" spans="1:2" ht="12.75">
      <c r="A8" t="s">
        <v>309</v>
      </c>
      <c r="B8" s="20">
        <v>7200</v>
      </c>
    </row>
    <row r="9" spans="1:2" ht="12.75">
      <c r="A9" t="s">
        <v>313</v>
      </c>
      <c r="B9" s="20">
        <v>49480</v>
      </c>
    </row>
    <row r="10" spans="1:2" ht="12.75">
      <c r="A10" t="s">
        <v>6</v>
      </c>
      <c r="B10" s="20">
        <v>25325</v>
      </c>
    </row>
    <row r="11" spans="1:2" ht="12.75">
      <c r="A11" t="s">
        <v>305</v>
      </c>
      <c r="B11" s="20">
        <f>SUM(B7:B10)</f>
        <v>209685</v>
      </c>
    </row>
    <row r="12" ht="12.75">
      <c r="B12" s="20"/>
    </row>
    <row r="13" spans="1:3" ht="12.75">
      <c r="A13" t="s">
        <v>310</v>
      </c>
      <c r="B13" s="20">
        <f>B4-B11</f>
        <v>737747</v>
      </c>
      <c r="C13" s="20">
        <v>737747</v>
      </c>
    </row>
    <row r="15" s="110" customFormat="1" ht="17.25">
      <c r="A15" s="110" t="s">
        <v>306</v>
      </c>
    </row>
    <row r="17" spans="1:2" ht="12.75">
      <c r="A17" t="s">
        <v>302</v>
      </c>
      <c r="B17" s="20">
        <v>297800</v>
      </c>
    </row>
    <row r="18" ht="12.75">
      <c r="B18" s="20"/>
    </row>
    <row r="19" spans="1:7" ht="12.75">
      <c r="A19" t="s">
        <v>304</v>
      </c>
      <c r="B19" s="20"/>
      <c r="G19" s="20"/>
    </row>
    <row r="20" spans="1:7" ht="12.75">
      <c r="A20" t="s">
        <v>6</v>
      </c>
      <c r="B20" s="20">
        <v>26927</v>
      </c>
      <c r="G20" s="20"/>
    </row>
    <row r="21" spans="1:7" ht="12.75">
      <c r="A21" t="s">
        <v>299</v>
      </c>
      <c r="B21" s="20">
        <v>-7237</v>
      </c>
      <c r="G21" s="20"/>
    </row>
    <row r="22" spans="1:2" ht="12.75">
      <c r="A22" t="s">
        <v>314</v>
      </c>
      <c r="B22" s="20">
        <f>49956+16444</f>
        <v>66400</v>
      </c>
    </row>
    <row r="23" spans="1:2" ht="12.75">
      <c r="A23" t="s">
        <v>315</v>
      </c>
      <c r="B23" s="20">
        <v>-8346</v>
      </c>
    </row>
    <row r="24" spans="1:2" ht="12.75">
      <c r="A24" t="s">
        <v>76</v>
      </c>
      <c r="B24" s="20">
        <v>643</v>
      </c>
    </row>
    <row r="25" spans="1:2" ht="12.75">
      <c r="A25" t="s">
        <v>300</v>
      </c>
      <c r="B25" s="20">
        <f>3974</f>
        <v>3974</v>
      </c>
    </row>
    <row r="26" spans="1:2" ht="12.75">
      <c r="A26" t="s">
        <v>316</v>
      </c>
      <c r="B26" s="20">
        <v>-1477</v>
      </c>
    </row>
    <row r="27" spans="1:2" ht="12.75">
      <c r="A27" t="s">
        <v>13</v>
      </c>
      <c r="B27" s="20">
        <v>4912</v>
      </c>
    </row>
    <row r="28" spans="1:2" ht="12.75">
      <c r="A28" t="s">
        <v>301</v>
      </c>
      <c r="B28" s="20">
        <v>7200</v>
      </c>
    </row>
    <row r="29" spans="1:2" ht="12.75">
      <c r="A29" t="s">
        <v>305</v>
      </c>
      <c r="B29" s="20">
        <f>SUM(B20:B28)</f>
        <v>92996</v>
      </c>
    </row>
    <row r="30" ht="12.75">
      <c r="B30" s="20"/>
    </row>
    <row r="31" spans="1:7" ht="12.75">
      <c r="A31" t="s">
        <v>303</v>
      </c>
      <c r="B31" s="20">
        <f>B17-B29</f>
        <v>204804</v>
      </c>
      <c r="C31" s="20">
        <v>204804</v>
      </c>
      <c r="D31" s="20"/>
      <c r="G31" s="20"/>
    </row>
    <row r="32" ht="12.75">
      <c r="B32" s="20"/>
    </row>
    <row r="33" s="110" customFormat="1" ht="17.25">
      <c r="A33" s="110" t="s">
        <v>312</v>
      </c>
    </row>
    <row r="34" spans="1:7" ht="12.75">
      <c r="A34" t="s">
        <v>302</v>
      </c>
      <c r="B34" s="20">
        <v>603150</v>
      </c>
      <c r="G34" s="20"/>
    </row>
    <row r="35" ht="12.75">
      <c r="B35" s="20"/>
    </row>
    <row r="36" spans="1:2" ht="12.75">
      <c r="A36" t="s">
        <v>304</v>
      </c>
      <c r="B36" s="20"/>
    </row>
    <row r="37" spans="1:2" ht="12.75">
      <c r="A37" t="s">
        <v>13</v>
      </c>
      <c r="B37" s="20">
        <f>-B27</f>
        <v>-4912</v>
      </c>
    </row>
    <row r="38" spans="1:2" ht="12.75">
      <c r="A38" t="s">
        <v>316</v>
      </c>
      <c r="B38" s="20">
        <f>-B26</f>
        <v>1477</v>
      </c>
    </row>
    <row r="39" spans="1:2" ht="12.75">
      <c r="A39" t="s">
        <v>313</v>
      </c>
      <c r="B39" s="20">
        <v>18489</v>
      </c>
    </row>
    <row r="40" spans="1:7" ht="12.75">
      <c r="A40" t="s">
        <v>305</v>
      </c>
      <c r="B40" s="20">
        <f>SUM(B37:B39)</f>
        <v>15054</v>
      </c>
      <c r="G40" s="20"/>
    </row>
    <row r="41" ht="12.75">
      <c r="B41" s="20"/>
    </row>
    <row r="42" spans="1:7" ht="12.75">
      <c r="A42" t="s">
        <v>310</v>
      </c>
      <c r="B42" s="20">
        <f>B34-B40</f>
        <v>588096</v>
      </c>
      <c r="C42" s="20">
        <v>588096</v>
      </c>
      <c r="D42" s="20"/>
      <c r="G42" s="20"/>
    </row>
    <row r="43" ht="12.75">
      <c r="B43" s="20"/>
    </row>
    <row r="44" ht="12.75">
      <c r="B44" s="20"/>
    </row>
    <row r="45" s="110" customFormat="1" ht="17.25">
      <c r="A45" s="110" t="s">
        <v>320</v>
      </c>
    </row>
    <row r="46" spans="1:4" ht="12.75">
      <c r="A46" t="s">
        <v>318</v>
      </c>
      <c r="B46" s="20"/>
      <c r="C46" s="20"/>
      <c r="D46" s="20">
        <f>B11</f>
        <v>209685</v>
      </c>
    </row>
    <row r="47" spans="1:4" ht="12.75">
      <c r="A47" s="111" t="s">
        <v>317</v>
      </c>
      <c r="B47" s="112"/>
      <c r="C47" s="112"/>
      <c r="D47" s="112">
        <f>B29+B40</f>
        <v>108050</v>
      </c>
    </row>
    <row r="48" spans="1:4" ht="13.5" thickBot="1">
      <c r="A48" t="s">
        <v>319</v>
      </c>
      <c r="B48" s="20"/>
      <c r="C48" s="20"/>
      <c r="D48" s="114">
        <f>-(D46-D47)</f>
        <v>-101635</v>
      </c>
    </row>
    <row r="49" spans="2:3" ht="13.5" thickTop="1">
      <c r="B49" s="20"/>
      <c r="C49" s="20"/>
    </row>
    <row r="50" spans="2:3" ht="12.75">
      <c r="B50" s="20"/>
      <c r="C50" s="20"/>
    </row>
    <row r="51" spans="1:3" ht="12.75">
      <c r="A51" s="115" t="s">
        <v>323</v>
      </c>
      <c r="B51" s="20"/>
      <c r="C51" s="20"/>
    </row>
    <row r="52" spans="1:3" ht="12.75">
      <c r="A52" t="s">
        <v>142</v>
      </c>
      <c r="B52" s="20"/>
      <c r="C52" s="20">
        <f>B22+B23</f>
        <v>58054</v>
      </c>
    </row>
    <row r="53" spans="1:3" ht="12.75">
      <c r="A53" s="111" t="s">
        <v>321</v>
      </c>
      <c r="B53" s="112"/>
      <c r="C53" s="112">
        <f>B20+B21+B25+B39+B24+B28</f>
        <v>49996</v>
      </c>
    </row>
    <row r="54" spans="2:3" ht="13.5" thickBot="1">
      <c r="B54" s="20"/>
      <c r="C54" s="113">
        <f>SUM(C52:C53)</f>
        <v>108050</v>
      </c>
    </row>
    <row r="55" ht="13.5" thickTop="1">
      <c r="B55" s="20"/>
    </row>
    <row r="56" spans="1:2" ht="12.75">
      <c r="A56" t="s">
        <v>322</v>
      </c>
      <c r="B56" s="20"/>
    </row>
    <row r="57" ht="12.75">
      <c r="B57" s="20"/>
    </row>
    <row r="58" ht="12.75">
      <c r="B58" s="20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RAMBØLL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Dan Mølholm</cp:lastModifiedBy>
  <cp:lastPrinted>2012-02-26T11:00:30Z</cp:lastPrinted>
  <dcterms:created xsi:type="dcterms:W3CDTF">2005-04-10T13:24:59Z</dcterms:created>
  <dcterms:modified xsi:type="dcterms:W3CDTF">2012-12-18T20:23:35Z</dcterms:modified>
  <cp:category/>
  <cp:version/>
  <cp:contentType/>
  <cp:contentStatus/>
</cp:coreProperties>
</file>