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10" windowHeight="6315" tabRatio="785" activeTab="0"/>
  </bookViews>
  <sheets>
    <sheet name="Varmeregnskab" sheetId="1" r:id="rId1"/>
    <sheet name="Antal hoveder" sheetId="2" r:id="rId2"/>
    <sheet name="Gasafregning" sheetId="3" r:id="rId3"/>
    <sheet name="Aflæsninger" sheetId="4" r:id="rId4"/>
    <sheet name="Bofæller A conto maj - dec" sheetId="5" r:id="rId5"/>
    <sheet name="Bofæller A conto jan - apr" sheetId="6" r:id="rId6"/>
    <sheet name="Fælleshuset A conto maj - dec" sheetId="7" r:id="rId7"/>
    <sheet name="Fælleshuset A conto jan - apr" sheetId="8" r:id="rId8"/>
    <sheet name="Ark1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<sst xmlns="http://schemas.openxmlformats.org/spreadsheetml/2006/main" count="456" uniqueCount="179">
  <si>
    <t>Hus nr</t>
  </si>
  <si>
    <t>1</t>
  </si>
  <si>
    <t>2</t>
  </si>
  <si>
    <t>3</t>
  </si>
  <si>
    <t xml:space="preserve"> </t>
  </si>
  <si>
    <t>4</t>
  </si>
  <si>
    <t>5</t>
  </si>
  <si>
    <t>6</t>
  </si>
  <si>
    <t>7</t>
  </si>
  <si>
    <t>8</t>
  </si>
  <si>
    <t>9</t>
  </si>
  <si>
    <t>10</t>
  </si>
  <si>
    <t>11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</si>
  <si>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</si>
  <si>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</si>
  <si>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</si>
  <si>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</si>
  <si>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</si>
  <si>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</si>
  <si>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</si>
  <si>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</si>
  <si>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</si>
  <si>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</si>
  <si>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16</t>
  </si>
  <si>
    <t>I alt</t>
  </si>
  <si>
    <t>personer</t>
  </si>
  <si>
    <t>Antal</t>
  </si>
  <si>
    <t>Gasfor</t>
  </si>
  <si>
    <t>Gasfor-</t>
  </si>
  <si>
    <t>brug kr.</t>
  </si>
  <si>
    <t>vand</t>
  </si>
  <si>
    <t>Opvarm-</t>
  </si>
  <si>
    <t>ning</t>
  </si>
  <si>
    <t>Varme</t>
  </si>
  <si>
    <t>i alt</t>
  </si>
  <si>
    <t>Betalt</t>
  </si>
  <si>
    <t>a/conto</t>
  </si>
  <si>
    <r>
      <t>m</t>
    </r>
    <r>
      <rPr>
        <vertAlign val="superscript"/>
        <sz val="10"/>
        <rFont val="Arial"/>
        <family val="2"/>
      </rPr>
      <t>2</t>
    </r>
  </si>
  <si>
    <t>Varmt</t>
  </si>
  <si>
    <t>brug m2</t>
  </si>
  <si>
    <t>Alm fyrg</t>
  </si>
  <si>
    <t>m3</t>
  </si>
  <si>
    <t>13</t>
  </si>
  <si>
    <t>Vand</t>
  </si>
  <si>
    <t>Hus 24-25</t>
  </si>
  <si>
    <t>Hus 26</t>
  </si>
  <si>
    <t>-  Varme</t>
  </si>
  <si>
    <t>-  Vand</t>
  </si>
  <si>
    <t>Solfanger</t>
  </si>
  <si>
    <t>Generelt:</t>
  </si>
  <si>
    <t>A conto</t>
  </si>
  <si>
    <t>næste år</t>
  </si>
  <si>
    <t>per GEF</t>
  </si>
  <si>
    <t>Sidste år</t>
  </si>
  <si>
    <t>Kr:</t>
  </si>
  <si>
    <t>I år</t>
  </si>
  <si>
    <t>m3:</t>
  </si>
  <si>
    <t>Kr/m3</t>
  </si>
  <si>
    <t>Stigning</t>
  </si>
  <si>
    <t>Bakken27</t>
  </si>
  <si>
    <t>Reg.</t>
  </si>
  <si>
    <t>sidste  år</t>
  </si>
  <si>
    <t>26C</t>
  </si>
  <si>
    <t>26A</t>
  </si>
  <si>
    <t>Opkrævet</t>
  </si>
  <si>
    <t>Aflæst</t>
  </si>
  <si>
    <t>Kroner</t>
  </si>
  <si>
    <t>Målernr</t>
  </si>
  <si>
    <t>Pinkode</t>
  </si>
  <si>
    <t>Kundenr</t>
  </si>
  <si>
    <t>Kortnr</t>
  </si>
  <si>
    <t>Fyrgruppe</t>
  </si>
  <si>
    <t>1-3</t>
  </si>
  <si>
    <t>4-6</t>
  </si>
  <si>
    <t>7-8</t>
  </si>
  <si>
    <t>9-11</t>
  </si>
  <si>
    <t>12-14</t>
  </si>
  <si>
    <t>15-17</t>
  </si>
  <si>
    <t>18-20</t>
  </si>
  <si>
    <t>21-23</t>
  </si>
  <si>
    <t>24-26</t>
  </si>
  <si>
    <t>Gården:</t>
  </si>
  <si>
    <t xml:space="preserve">  Varme</t>
  </si>
  <si>
    <t xml:space="preserve">  Varmt vand</t>
  </si>
  <si>
    <t xml:space="preserve">  Vandmåler</t>
  </si>
  <si>
    <t>24-25:</t>
  </si>
  <si>
    <t>Hus 24-26:</t>
  </si>
  <si>
    <t>Varme i alt</t>
  </si>
  <si>
    <t>Varmt vand i alt</t>
  </si>
  <si>
    <t>Energi i alt</t>
  </si>
  <si>
    <t>Fordeling</t>
  </si>
  <si>
    <t xml:space="preserve">  Hus 24-25</t>
  </si>
  <si>
    <t xml:space="preserve">  Hus 26</t>
  </si>
  <si>
    <t>27</t>
  </si>
  <si>
    <t>m3 gas / m2 hus</t>
  </si>
  <si>
    <t>Vaskeri</t>
  </si>
  <si>
    <t>Vaskeriet:</t>
  </si>
  <si>
    <t xml:space="preserve">   Gas</t>
  </si>
  <si>
    <t>Varmeår:  1. maj 2011 til 30. april 2012</t>
  </si>
  <si>
    <t>Version 1</t>
  </si>
  <si>
    <t>304714 - Bofællesskabet Bakken I/S</t>
  </si>
  <si>
    <t>Rapport &gt; Debitorer &gt;</t>
  </si>
  <si>
    <t>Omsætningsstatistik for varer - perioden 01.05.11-31.12.11 - (enheder: Alle)</t>
  </si>
  <si>
    <t>Gruppe</t>
  </si>
  <si>
    <t>Nr.</t>
  </si>
  <si>
    <t>Navn</t>
  </si>
  <si>
    <t>Omsætning</t>
  </si>
  <si>
    <t>Omkostninger</t>
  </si>
  <si>
    <t>Bruttofortj.</t>
  </si>
  <si>
    <t>Bruttofortj. i %</t>
  </si>
  <si>
    <t>Varme a conto - Hus 1</t>
  </si>
  <si>
    <t>100,00%</t>
  </si>
  <si>
    <t>Varme a conto - Hus 2</t>
  </si>
  <si>
    <t>Varme a conto - Hus 3</t>
  </si>
  <si>
    <t>Varme a conto - Hus 4</t>
  </si>
  <si>
    <t>Varme a conto - Hus 5</t>
  </si>
  <si>
    <t>Varme a conto - Hus 6</t>
  </si>
  <si>
    <t>Varme a conto - Hus 7</t>
  </si>
  <si>
    <t>Varme a conto - Hus 8</t>
  </si>
  <si>
    <t>Varme a conto - Hus 9</t>
  </si>
  <si>
    <t>Varme a conto - Hus 10</t>
  </si>
  <si>
    <t>Varme a conto - Hus 11</t>
  </si>
  <si>
    <t>Varme a conto - Hus 12</t>
  </si>
  <si>
    <t>Varme a conto - Hus 13</t>
  </si>
  <si>
    <t>Varme a conto - Hus 14</t>
  </si>
  <si>
    <t>Varme a conto - Hus 15</t>
  </si>
  <si>
    <t>Varme a conto - Hus 16</t>
  </si>
  <si>
    <t>Varme a conto - Hus 17</t>
  </si>
  <si>
    <t>Varme a conto - Hus 18</t>
  </si>
  <si>
    <t>Varme a conto - Hus 19</t>
  </si>
  <si>
    <t>Varme a conto - Hus 20</t>
  </si>
  <si>
    <t>Varme a conto - Hus 21</t>
  </si>
  <si>
    <t>Varme a conto - Hus 22</t>
  </si>
  <si>
    <t>Varme a conto - Hus 23</t>
  </si>
  <si>
    <t>Varme a conto - Hus 24</t>
  </si>
  <si>
    <t>Varme a conto - Hus 25</t>
  </si>
  <si>
    <t>Varme a conto - Hus 26A</t>
  </si>
  <si>
    <t>Varme a conto - Hus 26C</t>
  </si>
  <si>
    <t>Varme i alt:</t>
  </si>
  <si>
    <t>Total:</t>
  </si>
  <si>
    <t>Rapport &gt; Regnskab</t>
  </si>
  <si>
    <t>Posteringer for perioden 01.05.11-31.12.11</t>
  </si>
  <si>
    <t>Konto</t>
  </si>
  <si>
    <t>Dato</t>
  </si>
  <si>
    <t>Bilag</t>
  </si>
  <si>
    <t>Type</t>
  </si>
  <si>
    <t>Tekst</t>
  </si>
  <si>
    <t>Moms</t>
  </si>
  <si>
    <t>Valuta</t>
  </si>
  <si>
    <t>Beløb</t>
  </si>
  <si>
    <t>Saldo</t>
  </si>
  <si>
    <t>Varme / gas</t>
  </si>
  <si>
    <t>Finansbilag</t>
  </si>
  <si>
    <t>Varme a conto 3/11</t>
  </si>
  <si>
    <t>Regulering GEF 3/11</t>
  </si>
  <si>
    <t>Regulering a conto varme GEF 3/11</t>
  </si>
  <si>
    <t>Systempostering</t>
  </si>
  <si>
    <t>Fælleshusets varme a conto</t>
  </si>
  <si>
    <t>Regulering varme 10/11</t>
  </si>
  <si>
    <t>Regulering a conto varme GEF 5/11</t>
  </si>
  <si>
    <t>Regulering a conto varme GEF 4/11</t>
  </si>
  <si>
    <t>A conto kommer fra årets vaskeriregnskab</t>
  </si>
  <si>
    <t>Omsætningsstatistik for varer - perioden 01.01.12-30.04.12 - (enheder: Alle)</t>
  </si>
  <si>
    <t>Posteringer for perioden 01.01.12-30.04.12</t>
  </si>
  <si>
    <t>Kommer fra Vaskeriregnskabet</t>
  </si>
  <si>
    <t>Forbrugt</t>
  </si>
  <si>
    <t>Fælleshuset</t>
  </si>
  <si>
    <t>24-26:</t>
  </si>
  <si>
    <t>Fra</t>
  </si>
  <si>
    <t>Til</t>
  </si>
  <si>
    <t>Hus 6</t>
  </si>
  <si>
    <t>Snit</t>
  </si>
  <si>
    <t>Hus 14</t>
  </si>
  <si>
    <t>Hus 23</t>
  </si>
  <si>
    <t>Andel af regulering</t>
  </si>
  <si>
    <t>Sælger</t>
  </si>
  <si>
    <t>Køber</t>
  </si>
  <si>
    <t>Hus 12</t>
  </si>
  <si>
    <t>Hus 13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</si>
</sst>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dd/mm/\y\y\y\y"/>
    <numFmt numFmtId="173" formatCode="0.0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dd/mm/yy;@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8"/>
      <color indexed="10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3" borderId="2" applyNumberFormat="0" applyAlignment="0" applyProtection="0"/>
    <xf numFmtId="0" fontId="35" fillId="24" borderId="3" applyNumberFormat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7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10" fontId="0" fillId="0" borderId="12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2" fontId="0" fillId="0" borderId="14" xfId="0" applyNumberFormat="1" applyFont="1" applyBorder="1" applyAlignment="1">
      <alignment/>
    </xf>
    <xf numFmtId="10" fontId="0" fillId="0" borderId="15" xfId="0" applyNumberFormat="1" applyFont="1" applyBorder="1" applyAlignment="1">
      <alignment horizontal="right"/>
    </xf>
    <xf numFmtId="14" fontId="4" fillId="0" borderId="0" xfId="0" applyNumberFormat="1" applyFont="1" applyAlignment="1">
      <alignment horizontal="center"/>
    </xf>
    <xf numFmtId="179" fontId="4" fillId="0" borderId="0" xfId="0" applyNumberFormat="1" applyFont="1" applyAlignment="1">
      <alignment horizontal="center"/>
    </xf>
    <xf numFmtId="17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4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9" fontId="0" fillId="0" borderId="0" xfId="0" applyNumberFormat="1" applyAlignment="1">
      <alignment/>
    </xf>
    <xf numFmtId="174" fontId="0" fillId="0" borderId="0" xfId="0" applyNumberFormat="1" applyFont="1" applyAlignment="1">
      <alignment horizontal="left"/>
    </xf>
    <xf numFmtId="174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79" fontId="4" fillId="0" borderId="0" xfId="0" applyNumberFormat="1" applyFont="1" applyAlignment="1">
      <alignment horizontal="right"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7" fillId="0" borderId="0" xfId="0" applyNumberFormat="1" applyFont="1" applyBorder="1" applyAlignment="1" applyProtection="1">
      <alignment/>
      <protection locked="0"/>
    </xf>
    <xf numFmtId="49" fontId="8" fillId="0" borderId="0" xfId="0" applyNumberFormat="1" applyFont="1" applyAlignment="1">
      <alignment wrapText="1"/>
    </xf>
    <xf numFmtId="49" fontId="9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right" wrapText="1"/>
    </xf>
    <xf numFmtId="1" fontId="9" fillId="0" borderId="0" xfId="0" applyNumberFormat="1" applyFont="1" applyAlignment="1">
      <alignment wrapText="1"/>
    </xf>
    <xf numFmtId="4" fontId="9" fillId="0" borderId="0" xfId="0" applyNumberFormat="1" applyFont="1" applyAlignment="1">
      <alignment horizontal="right" wrapText="1"/>
    </xf>
    <xf numFmtId="49" fontId="9" fillId="0" borderId="0" xfId="0" applyNumberFormat="1" applyFont="1" applyAlignment="1">
      <alignment horizontal="right" wrapText="1"/>
    </xf>
    <xf numFmtId="49" fontId="0" fillId="0" borderId="0" xfId="0" applyNumberFormat="1" applyAlignment="1">
      <alignment wrapText="1"/>
    </xf>
    <xf numFmtId="4" fontId="8" fillId="0" borderId="0" xfId="0" applyNumberFormat="1" applyFont="1" applyAlignment="1">
      <alignment horizontal="right" wrapText="1"/>
    </xf>
    <xf numFmtId="14" fontId="9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179" fontId="4" fillId="0" borderId="0" xfId="0" applyNumberFormat="1" applyFont="1" applyAlignment="1" quotePrefix="1">
      <alignment horizontal="center"/>
    </xf>
    <xf numFmtId="174" fontId="4" fillId="0" borderId="0" xfId="0" applyNumberFormat="1" applyFont="1" applyAlignment="1">
      <alignment/>
    </xf>
    <xf numFmtId="0" fontId="4" fillId="0" borderId="0" xfId="0" applyFont="1" applyAlignment="1" applyProtection="1">
      <alignment/>
      <protection locked="0"/>
    </xf>
    <xf numFmtId="174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4" fontId="4" fillId="0" borderId="0" xfId="0" applyNumberFormat="1" applyFont="1" applyAlignment="1">
      <alignment horizontal="center"/>
    </xf>
    <xf numFmtId="49" fontId="8" fillId="0" borderId="0" xfId="0" applyNumberFormat="1" applyFont="1" applyAlignment="1">
      <alignment wrapText="1"/>
    </xf>
    <xf numFmtId="49" fontId="9" fillId="0" borderId="0" xfId="0" applyNumberFormat="1" applyFont="1" applyAlignment="1">
      <alignment wrapText="1"/>
    </xf>
    <xf numFmtId="3" fontId="45" fillId="0" borderId="0" xfId="0" applyNumberFormat="1" applyFont="1" applyAlignment="1">
      <alignment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armebakken%201011%20-%20version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meregnskab"/>
      <sheetName val="Gasafregning"/>
      <sheetName val="A conto"/>
    </sheetNames>
    <sheetDataSet>
      <sheetData sheetId="1">
        <row r="8">
          <cell r="B8">
            <v>42812.52</v>
          </cell>
          <cell r="C8">
            <v>5108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tabSelected="1" zoomScale="90" zoomScaleNormal="9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16" sqref="M16"/>
    </sheetView>
  </sheetViews>
  <sheetFormatPr defaultColWidth="9.140625" defaultRowHeight="12.75"/>
  <cols>
    <col min="1" max="1" width="10.8515625" style="2" customWidth="1"/>
    <col min="2" max="2" width="9.140625" style="2" customWidth="1"/>
    <col min="3" max="3" width="12.7109375" style="2" bestFit="1" customWidth="1"/>
    <col min="4" max="4" width="9.140625" style="11" customWidth="1"/>
    <col min="5" max="5" width="11.140625" style="11" bestFit="1" customWidth="1"/>
    <col min="6" max="6" width="10.28125" style="11" bestFit="1" customWidth="1"/>
    <col min="7" max="8" width="9.140625" style="11" customWidth="1"/>
    <col min="9" max="10" width="9.140625" style="2" customWidth="1"/>
    <col min="11" max="11" width="9.140625" style="11" customWidth="1"/>
    <col min="12" max="12" width="10.00390625" style="11" bestFit="1" customWidth="1"/>
    <col min="13" max="14" width="9.140625" style="11" customWidth="1"/>
    <col min="15" max="16" width="9.140625" style="2" customWidth="1"/>
    <col min="17" max="17" width="10.140625" style="2" customWidth="1"/>
    <col min="18" max="20" width="9.140625" style="2" customWidth="1"/>
    <col min="21" max="21" width="10.421875" style="2" bestFit="1" customWidth="1"/>
    <col min="22" max="16384" width="9.140625" style="2" customWidth="1"/>
  </cols>
  <sheetData>
    <row r="1" spans="3:13" ht="23.25">
      <c r="C1" s="56" t="s">
        <v>98</v>
      </c>
      <c r="D1" s="17"/>
      <c r="E1" s="17"/>
      <c r="F1" s="17"/>
      <c r="G1" s="17"/>
      <c r="H1" s="17"/>
      <c r="I1" s="30"/>
      <c r="K1" s="57" t="s">
        <v>99</v>
      </c>
      <c r="L1" s="21"/>
      <c r="M1" s="21"/>
    </row>
    <row r="2" spans="3:16" ht="12.75">
      <c r="C2" s="12"/>
      <c r="I2" s="54"/>
      <c r="J2" s="6"/>
      <c r="N2" s="9"/>
      <c r="P2" s="9"/>
    </row>
    <row r="3" spans="1:13" ht="12.75">
      <c r="A3" s="18" t="s">
        <v>55</v>
      </c>
      <c r="B3" s="53" t="s">
        <v>54</v>
      </c>
      <c r="C3" s="20">
        <f>E49</f>
        <v>373250.94999999995</v>
      </c>
      <c r="D3" s="21"/>
      <c r="E3" s="20" t="s">
        <v>56</v>
      </c>
      <c r="F3" s="21">
        <f>D49</f>
        <v>42862</v>
      </c>
      <c r="G3" s="21"/>
      <c r="H3" s="53" t="s">
        <v>57</v>
      </c>
      <c r="I3" s="31">
        <f>C3/F3</f>
        <v>8.708201903784238</v>
      </c>
      <c r="J3" s="22"/>
      <c r="L3" s="27"/>
      <c r="M3" s="21"/>
    </row>
    <row r="4" spans="1:16" ht="12.75">
      <c r="A4" s="19" t="s">
        <v>53</v>
      </c>
      <c r="B4" s="53" t="s">
        <v>54</v>
      </c>
      <c r="C4" s="25">
        <v>428013</v>
      </c>
      <c r="D4" s="21"/>
      <c r="E4" s="20" t="s">
        <v>56</v>
      </c>
      <c r="F4" s="26">
        <v>49330</v>
      </c>
      <c r="G4" s="21"/>
      <c r="H4" s="53" t="s">
        <v>57</v>
      </c>
      <c r="I4" s="31">
        <f>C4/F4</f>
        <v>8.67652544090817</v>
      </c>
      <c r="J4" s="21"/>
      <c r="K4" s="21"/>
      <c r="L4" s="21"/>
      <c r="M4" s="19"/>
      <c r="P4" s="9"/>
    </row>
    <row r="5" spans="1:16" ht="13.5" thickBot="1">
      <c r="A5" s="28" t="s">
        <v>58</v>
      </c>
      <c r="B5" s="23"/>
      <c r="C5" s="29">
        <f>(C3-C4)/C4</f>
        <v>-0.12794482877856525</v>
      </c>
      <c r="D5" s="24"/>
      <c r="E5" s="24"/>
      <c r="F5" s="29">
        <f>(F3-F4)/F4</f>
        <v>-0.13111696736265963</v>
      </c>
      <c r="G5" s="24"/>
      <c r="H5" s="23"/>
      <c r="I5" s="32">
        <f>(I3-I4)/I4</f>
        <v>0.0036508234882501214</v>
      </c>
      <c r="J5" s="21"/>
      <c r="K5" s="21"/>
      <c r="L5" s="21"/>
      <c r="M5" s="2"/>
      <c r="O5" s="9"/>
      <c r="P5" s="9"/>
    </row>
    <row r="6" spans="3:16" ht="13.5" thickTop="1">
      <c r="C6" s="12"/>
      <c r="J6" s="6"/>
      <c r="N6" s="9"/>
      <c r="P6" s="9"/>
    </row>
    <row r="7" spans="3:19" ht="12.75">
      <c r="C7" s="4" t="s">
        <v>26</v>
      </c>
      <c r="D7" s="12" t="s">
        <v>27</v>
      </c>
      <c r="E7" s="12" t="s">
        <v>28</v>
      </c>
      <c r="F7" s="12" t="s">
        <v>38</v>
      </c>
      <c r="G7" s="12" t="s">
        <v>31</v>
      </c>
      <c r="H7" s="4"/>
      <c r="J7" s="12" t="s">
        <v>33</v>
      </c>
      <c r="K7" s="12" t="s">
        <v>35</v>
      </c>
      <c r="L7" s="16" t="s">
        <v>60</v>
      </c>
      <c r="M7" s="16" t="s">
        <v>50</v>
      </c>
      <c r="N7" s="9" t="s">
        <v>94</v>
      </c>
      <c r="O7" s="4"/>
      <c r="S7" s="4"/>
    </row>
    <row r="8" spans="3:15" ht="12.75">
      <c r="C8" s="4" t="s">
        <v>25</v>
      </c>
      <c r="D8" s="12" t="s">
        <v>39</v>
      </c>
      <c r="E8" s="12" t="s">
        <v>29</v>
      </c>
      <c r="F8" s="12" t="s">
        <v>30</v>
      </c>
      <c r="G8" s="12" t="s">
        <v>32</v>
      </c>
      <c r="H8" s="4"/>
      <c r="J8" s="12" t="s">
        <v>34</v>
      </c>
      <c r="K8" s="12" t="s">
        <v>36</v>
      </c>
      <c r="L8" s="16" t="s">
        <v>61</v>
      </c>
      <c r="M8" s="16" t="s">
        <v>51</v>
      </c>
      <c r="N8" s="4"/>
      <c r="O8" s="7"/>
    </row>
    <row r="9" spans="1:14" ht="14.25">
      <c r="A9" s="2" t="s">
        <v>0</v>
      </c>
      <c r="B9" s="4" t="s">
        <v>37</v>
      </c>
      <c r="H9" s="2"/>
      <c r="I9" s="2" t="s">
        <v>0</v>
      </c>
      <c r="J9" s="11"/>
      <c r="K9" s="11" t="s">
        <v>4</v>
      </c>
      <c r="M9" s="16" t="s">
        <v>52</v>
      </c>
      <c r="N9" s="2"/>
    </row>
    <row r="10" spans="1:15" ht="12.75">
      <c r="A10" s="3" t="s">
        <v>1</v>
      </c>
      <c r="B10" s="14">
        <v>132</v>
      </c>
      <c r="C10" s="1">
        <v>3</v>
      </c>
      <c r="F10" s="11">
        <f>(E11)*(0.4)*(C10)/(C10+C11+C12)</f>
        <v>4766.965333333334</v>
      </c>
      <c r="G10" s="12">
        <f>(E11)*(0.6)*(B10)/(B10+B11+B12)</f>
        <v>6741.850971428571</v>
      </c>
      <c r="H10" s="5"/>
      <c r="I10" s="3" t="s">
        <v>1</v>
      </c>
      <c r="J10" s="11">
        <f>SUM(F10:G10)</f>
        <v>11508.816304761905</v>
      </c>
      <c r="K10" s="11">
        <f>'Bofæller A conto maj - dec'!E6+'Bofæller A conto jan - apr'!E6</f>
        <v>15150</v>
      </c>
      <c r="L10" s="11">
        <f>J10-K10</f>
        <v>-3641.1836952380945</v>
      </c>
      <c r="M10" s="11">
        <f>(J10/6)*(1+I$5)</f>
        <v>1925.1388269415477</v>
      </c>
      <c r="N10" s="8"/>
      <c r="O10" s="5"/>
    </row>
    <row r="11" spans="1:20" ht="12.75">
      <c r="A11" s="3" t="s">
        <v>2</v>
      </c>
      <c r="B11" s="14">
        <v>132</v>
      </c>
      <c r="C11" s="1">
        <v>1</v>
      </c>
      <c r="D11" s="52">
        <f>Gasafregning!C4</f>
        <v>4105</v>
      </c>
      <c r="E11" s="11">
        <f>Gasafregning!B4</f>
        <v>35752.24</v>
      </c>
      <c r="F11" s="11">
        <f>(E11)*(0.4)*(C11)/(C10+C11+C12)</f>
        <v>1588.9884444444444</v>
      </c>
      <c r="G11" s="12">
        <f>(E11)*(0.6)*(B11)/(B10+B11+B12)</f>
        <v>6741.850971428571</v>
      </c>
      <c r="H11" s="5"/>
      <c r="I11" s="3" t="s">
        <v>2</v>
      </c>
      <c r="J11" s="11">
        <f>SUM(F11:G11)</f>
        <v>8330.839415873015</v>
      </c>
      <c r="K11" s="11">
        <f>'Bofæller A conto maj - dec'!E7+'Bofæller A conto jan - apr'!E7</f>
        <v>11096</v>
      </c>
      <c r="L11" s="11">
        <f aca="true" t="shared" si="0" ref="L11:L43">J11-K11</f>
        <v>-2765.1605841269848</v>
      </c>
      <c r="M11" s="11">
        <f aca="true" t="shared" si="1" ref="M11:M46">(J11/6)*(1+I$5)</f>
        <v>1393.5423066815542</v>
      </c>
      <c r="N11" s="8">
        <f>D11/SUM(B10:B12)</f>
        <v>9.773809523809524</v>
      </c>
      <c r="O11" s="8"/>
      <c r="P11" s="11"/>
      <c r="Q11" s="11"/>
      <c r="R11" s="11"/>
      <c r="S11" s="11"/>
      <c r="T11" s="11"/>
    </row>
    <row r="12" spans="1:20" ht="12.75">
      <c r="A12" s="3" t="s">
        <v>3</v>
      </c>
      <c r="B12" s="14">
        <v>156</v>
      </c>
      <c r="C12" s="1">
        <v>5</v>
      </c>
      <c r="E12" s="51"/>
      <c r="F12" s="11">
        <f>(E11)*(0.4)*(C12)/(C10+C11+C12)</f>
        <v>7944.942222222224</v>
      </c>
      <c r="G12" s="12">
        <f>(E11)*(0.6)*(B12)/(B10+B11+B12)</f>
        <v>7967.642057142856</v>
      </c>
      <c r="H12" s="5"/>
      <c r="I12" s="3" t="s">
        <v>3</v>
      </c>
      <c r="J12" s="11">
        <f>SUM(F12:G12)</f>
        <v>15912.58427936508</v>
      </c>
      <c r="K12" s="11">
        <f>'Bofæller A conto maj - dec'!E8+'Bofæller A conto jan - apr'!E8</f>
        <v>20906</v>
      </c>
      <c r="L12" s="11">
        <f t="shared" si="0"/>
        <v>-4993.415720634919</v>
      </c>
      <c r="M12" s="11">
        <f t="shared" si="1"/>
        <v>2661.7797193018246</v>
      </c>
      <c r="N12" s="8"/>
      <c r="O12" s="8"/>
      <c r="Q12" s="11"/>
      <c r="R12" s="11"/>
      <c r="S12" s="11"/>
      <c r="T12" s="11"/>
    </row>
    <row r="13" spans="1:20" ht="12.75">
      <c r="A13" s="3" t="s">
        <v>4</v>
      </c>
      <c r="B13" s="14"/>
      <c r="C13" s="1"/>
      <c r="H13" s="5"/>
      <c r="I13" s="3" t="s">
        <v>4</v>
      </c>
      <c r="J13" s="11"/>
      <c r="N13" s="8"/>
      <c r="O13" s="8"/>
      <c r="Q13" s="11"/>
      <c r="R13" s="11"/>
      <c r="S13" s="11"/>
      <c r="T13" s="11"/>
    </row>
    <row r="14" spans="1:20" ht="12.75">
      <c r="A14" s="3" t="s">
        <v>5</v>
      </c>
      <c r="B14" s="14">
        <v>132</v>
      </c>
      <c r="C14" s="1">
        <v>2</v>
      </c>
      <c r="F14" s="11">
        <f>(E15-500)*(0.3)*(C14)/(C14+C15+C16)</f>
        <v>2988.160422960725</v>
      </c>
      <c r="G14" s="11">
        <f>(E15-500)*(0.7)*(B14)/(B14+B15+B16)+500</f>
        <v>7299.9325625</v>
      </c>
      <c r="H14" s="5"/>
      <c r="I14" s="3" t="s">
        <v>5</v>
      </c>
      <c r="J14" s="11">
        <f>SUM(F14:G14)</f>
        <v>10288.092985460726</v>
      </c>
      <c r="K14" s="11">
        <f>'Bofæller A conto maj - dec'!E9+'Bofæller A conto jan - apr'!E9</f>
        <v>12288</v>
      </c>
      <c r="L14" s="11">
        <f t="shared" si="0"/>
        <v>-1999.9070145392743</v>
      </c>
      <c r="M14" s="11">
        <f t="shared" si="1"/>
        <v>1720.9421661635579</v>
      </c>
      <c r="N14" s="8"/>
      <c r="O14" s="8"/>
      <c r="Q14" s="11"/>
      <c r="R14" s="11"/>
      <c r="S14" s="11"/>
      <c r="T14" s="11"/>
    </row>
    <row r="15" spans="1:20" ht="12.75">
      <c r="A15" s="3" t="s">
        <v>6</v>
      </c>
      <c r="B15" s="14">
        <v>145</v>
      </c>
      <c r="C15" s="1">
        <v>1</v>
      </c>
      <c r="D15" s="11">
        <f>Gasafregning!C5</f>
        <v>3842</v>
      </c>
      <c r="E15" s="11">
        <f>Gasafregning!B5</f>
        <v>33469.37</v>
      </c>
      <c r="F15" s="11">
        <f>(E15-500)*(0.3)*(C15)/(C14+C15+C16)</f>
        <v>1494.0802114803625</v>
      </c>
      <c r="G15" s="11">
        <f>(E15-500)*(0.7)*(B15)/(B14+B15+B16)</f>
        <v>7469.622890625001</v>
      </c>
      <c r="H15" s="5"/>
      <c r="I15" s="3" t="s">
        <v>6</v>
      </c>
      <c r="J15" s="11">
        <f>SUM(F15:G15)</f>
        <v>8963.703102105363</v>
      </c>
      <c r="K15" s="11">
        <f>'Bofæller A conto maj - dec'!E10+'Bofæller A conto jan - apr'!E10</f>
        <v>11354</v>
      </c>
      <c r="L15" s="11">
        <f t="shared" si="0"/>
        <v>-2390.2968978946374</v>
      </c>
      <c r="M15" s="11">
        <f t="shared" si="1"/>
        <v>1499.4046666553718</v>
      </c>
      <c r="N15" s="8">
        <f>D15/SUM(B14:B16)</f>
        <v>8.575892857142858</v>
      </c>
      <c r="O15" s="8"/>
      <c r="P15" s="11"/>
      <c r="Q15" s="11"/>
      <c r="R15" s="11"/>
      <c r="S15" s="11"/>
      <c r="T15" s="11"/>
    </row>
    <row r="16" spans="1:20" ht="12.75">
      <c r="A16" s="3" t="s">
        <v>7</v>
      </c>
      <c r="B16" s="14">
        <v>171</v>
      </c>
      <c r="C16" s="1">
        <v>3.62</v>
      </c>
      <c r="F16" s="11">
        <f>(E15-500)*(0.3)*(C16)/(C14+C15+C16)</f>
        <v>5408.570365558912</v>
      </c>
      <c r="G16" s="11">
        <f>(E15-500)*(0.7)*(B16)/(B14+B15+B16)</f>
        <v>8809.003546875001</v>
      </c>
      <c r="H16" s="5"/>
      <c r="I16" s="3" t="s">
        <v>7</v>
      </c>
      <c r="J16" s="11">
        <f>SUM(F16:G16)</f>
        <v>14217.573912433912</v>
      </c>
      <c r="K16" s="11">
        <f>'Bofæller A conto maj - dec'!E11+'Bofæller A conto jan - apr'!E11</f>
        <v>16938</v>
      </c>
      <c r="L16" s="11">
        <f t="shared" si="0"/>
        <v>-2720.4260875660875</v>
      </c>
      <c r="M16" s="82">
        <v>2200</v>
      </c>
      <c r="N16" s="8"/>
      <c r="O16" s="5"/>
      <c r="Q16" s="11"/>
      <c r="R16" s="11"/>
      <c r="S16" s="11"/>
      <c r="T16" s="11"/>
    </row>
    <row r="17" spans="1:20" ht="12.75">
      <c r="A17" s="3" t="s">
        <v>4</v>
      </c>
      <c r="B17" s="14"/>
      <c r="C17" s="1"/>
      <c r="H17" s="5"/>
      <c r="I17" s="3" t="s">
        <v>4</v>
      </c>
      <c r="J17" s="11"/>
      <c r="N17" s="8"/>
      <c r="O17" s="5"/>
      <c r="Q17" s="11"/>
      <c r="R17" s="11"/>
      <c r="S17" s="11"/>
      <c r="T17" s="11"/>
    </row>
    <row r="18" spans="1:20" ht="12.75">
      <c r="A18" s="3" t="s">
        <v>8</v>
      </c>
      <c r="B18" s="14">
        <v>145</v>
      </c>
      <c r="C18" s="1">
        <v>2</v>
      </c>
      <c r="D18" s="11">
        <f>Gasafregning!C6</f>
        <v>3148</v>
      </c>
      <c r="E18" s="11">
        <f>Gasafregning!B6</f>
        <v>27445.28</v>
      </c>
      <c r="F18" s="11">
        <f>0.4*(E18)/(C18+C19)*C18</f>
        <v>3659.370666666667</v>
      </c>
      <c r="G18" s="11">
        <f>0.6*(E18)*(B18)/(B18+B19)</f>
        <v>8233.583999999999</v>
      </c>
      <c r="H18" s="5"/>
      <c r="I18" s="3" t="s">
        <v>4</v>
      </c>
      <c r="J18" s="11">
        <f>SUM(F18:G18)</f>
        <v>11892.954666666667</v>
      </c>
      <c r="K18" s="11">
        <f>'Bofæller A conto maj - dec'!E12+'Bofæller A conto jan - apr'!E12</f>
        <v>13812</v>
      </c>
      <c r="L18" s="11">
        <f t="shared" si="0"/>
        <v>-1919.0453333333335</v>
      </c>
      <c r="M18" s="11">
        <f t="shared" si="1"/>
        <v>1989.3956241514047</v>
      </c>
      <c r="N18" s="8">
        <f>D18/SUM(B17:B19)</f>
        <v>10.855172413793104</v>
      </c>
      <c r="O18" s="5"/>
      <c r="P18" s="11"/>
      <c r="Q18" s="11"/>
      <c r="R18" s="11"/>
      <c r="S18" s="11"/>
      <c r="T18" s="11"/>
    </row>
    <row r="19" spans="1:20" ht="12.75">
      <c r="A19" s="3" t="s">
        <v>9</v>
      </c>
      <c r="B19" s="14">
        <v>145</v>
      </c>
      <c r="C19" s="1">
        <v>4</v>
      </c>
      <c r="F19" s="11">
        <f>0.4*(E18)/(C18+C19)*C19</f>
        <v>7318.741333333334</v>
      </c>
      <c r="G19" s="11">
        <f>0.6*(E18)*(B19)/(B18+B19)</f>
        <v>8233.583999999999</v>
      </c>
      <c r="H19" s="5"/>
      <c r="I19" s="3" t="s">
        <v>9</v>
      </c>
      <c r="J19" s="11">
        <f>SUM(F19:G19)</f>
        <v>15552.325333333334</v>
      </c>
      <c r="K19" s="11">
        <f>'Bofæller A conto maj - dec'!E13+'Bofæller A conto jan - apr'!E13</f>
        <v>18064</v>
      </c>
      <c r="L19" s="11">
        <f t="shared" si="0"/>
        <v>-2511.674666666666</v>
      </c>
      <c r="M19" s="11">
        <f t="shared" si="1"/>
        <v>2601.5173546595292</v>
      </c>
      <c r="N19" s="8"/>
      <c r="O19" s="8"/>
      <c r="Q19" s="11"/>
      <c r="R19" s="11"/>
      <c r="S19" s="11"/>
      <c r="T19" s="11"/>
    </row>
    <row r="20" spans="1:20" ht="12.75">
      <c r="A20" s="3" t="s">
        <v>4</v>
      </c>
      <c r="B20" s="14"/>
      <c r="C20" s="1"/>
      <c r="H20" s="5"/>
      <c r="I20" s="3" t="s">
        <v>4</v>
      </c>
      <c r="J20" s="11"/>
      <c r="N20" s="8"/>
      <c r="O20" s="8"/>
      <c r="Q20" s="11"/>
      <c r="R20" s="11"/>
      <c r="S20" s="11"/>
      <c r="T20" s="11"/>
    </row>
    <row r="21" spans="1:20" ht="12.75">
      <c r="A21" s="3" t="s">
        <v>10</v>
      </c>
      <c r="B21" s="14">
        <v>145</v>
      </c>
      <c r="C21" s="1">
        <v>4</v>
      </c>
      <c r="F21" s="11">
        <f>E$22*B$58*(C21)/(C$21+C$22+C$23)</f>
        <v>2380.344894259819</v>
      </c>
      <c r="G21" s="11">
        <f>(E$22)*B$57*(B21)/(B$21+B$22+B$23)</f>
        <v>8966.270084907146</v>
      </c>
      <c r="H21" s="5"/>
      <c r="I21" s="3" t="s">
        <v>10</v>
      </c>
      <c r="J21" s="11">
        <f>SUM(F21:G21)</f>
        <v>11346.614979166965</v>
      </c>
      <c r="K21" s="11">
        <f>'Bofæller A conto maj - dec'!E14+'Bofæller A conto jan - apr'!E14</f>
        <v>12980</v>
      </c>
      <c r="L21" s="11">
        <f t="shared" si="0"/>
        <v>-1633.385020833035</v>
      </c>
      <c r="M21" s="11">
        <f t="shared" si="1"/>
        <v>1898.0065779408399</v>
      </c>
      <c r="N21" s="8"/>
      <c r="O21" s="8"/>
      <c r="Q21" s="11"/>
      <c r="R21" s="11"/>
      <c r="S21" s="11"/>
      <c r="T21" s="11"/>
    </row>
    <row r="22" spans="1:20" ht="12.75">
      <c r="A22" s="3" t="s">
        <v>11</v>
      </c>
      <c r="B22" s="14">
        <v>132</v>
      </c>
      <c r="C22" s="1">
        <v>3</v>
      </c>
      <c r="D22" s="11">
        <f>Gasafregning!C7</f>
        <v>3678</v>
      </c>
      <c r="E22" s="11">
        <f>Gasafregning!B7</f>
        <v>32045.8</v>
      </c>
      <c r="F22" s="11">
        <f>E$22*B$58*(C22)/(C$21+C$22+C$23)</f>
        <v>1785.2586706948641</v>
      </c>
      <c r="G22" s="11">
        <f>(E$22)*B$57*(B22)/(B$21+B$22+B$23)</f>
        <v>8162.39759453616</v>
      </c>
      <c r="H22" s="5"/>
      <c r="I22" s="3" t="s">
        <v>11</v>
      </c>
      <c r="J22" s="11">
        <f>SUM(F22:G22)</f>
        <v>9947.656265231024</v>
      </c>
      <c r="K22" s="11">
        <f>'Bofæller A conto maj - dec'!E15+'Bofæller A conto jan - apr'!E15</f>
        <v>11540</v>
      </c>
      <c r="L22" s="11">
        <f>J22-K22</f>
        <v>-1592.343734768976</v>
      </c>
      <c r="M22" s="11">
        <f t="shared" si="1"/>
        <v>1663.9955670628615</v>
      </c>
      <c r="N22" s="8">
        <f>D22/SUM(B21:B23)</f>
        <v>8.71563981042654</v>
      </c>
      <c r="O22" s="8"/>
      <c r="P22" s="11"/>
      <c r="Q22" s="11"/>
      <c r="R22" s="11"/>
      <c r="S22" s="11"/>
      <c r="T22" s="11"/>
    </row>
    <row r="23" spans="1:20" ht="12.75">
      <c r="A23" s="3" t="s">
        <v>12</v>
      </c>
      <c r="B23" s="14">
        <v>145</v>
      </c>
      <c r="C23" s="1">
        <v>3</v>
      </c>
      <c r="F23" s="11">
        <f>E$22*B$58*(C23)/(C$21+C$22+C$23)</f>
        <v>1785.2586706948641</v>
      </c>
      <c r="G23" s="11">
        <f>(E$22)*B$57*(B23)/(B$21+B$22+B$23)</f>
        <v>8966.270084907146</v>
      </c>
      <c r="H23" s="5"/>
      <c r="I23" s="3" t="s">
        <v>12</v>
      </c>
      <c r="J23" s="11">
        <f>SUM(F23:G23)</f>
        <v>10751.52875560201</v>
      </c>
      <c r="K23" s="11">
        <f>'Bofæller A conto maj - dec'!E16+'Bofæller A conto jan - apr'!E16</f>
        <v>12548</v>
      </c>
      <c r="L23" s="11">
        <f t="shared" si="0"/>
        <v>-1796.4712443979897</v>
      </c>
      <c r="M23" s="11">
        <f t="shared" si="1"/>
        <v>1798.4634482195931</v>
      </c>
      <c r="N23" s="8"/>
      <c r="O23" s="8"/>
      <c r="Q23" s="11"/>
      <c r="R23" s="11"/>
      <c r="S23" s="11"/>
      <c r="T23" s="11"/>
    </row>
    <row r="24" spans="1:20" ht="12.75">
      <c r="A24" s="3" t="s">
        <v>4</v>
      </c>
      <c r="B24" s="14"/>
      <c r="C24" s="1"/>
      <c r="H24" s="5"/>
      <c r="I24" s="3" t="s">
        <v>4</v>
      </c>
      <c r="J24" s="11"/>
      <c r="N24" s="8"/>
      <c r="O24" s="8"/>
      <c r="Q24" s="11"/>
      <c r="R24" s="11"/>
      <c r="S24" s="11"/>
      <c r="T24" s="11"/>
    </row>
    <row r="25" spans="1:20" ht="12.75">
      <c r="A25" s="3">
        <v>12</v>
      </c>
      <c r="B25" s="14">
        <v>190</v>
      </c>
      <c r="C25" s="1">
        <v>4</v>
      </c>
      <c r="F25" s="11">
        <f>E26*(0.4)*(C25)/(C25+C26+C27)</f>
        <v>6250.855813953488</v>
      </c>
      <c r="G25" s="11">
        <f>(E26)*(0.6)*(B25)/(B25+B26+B27)</f>
        <v>9476.812948453608</v>
      </c>
      <c r="H25" s="5"/>
      <c r="I25" s="3">
        <v>12</v>
      </c>
      <c r="J25" s="11">
        <f>SUM(F25:G25)</f>
        <v>15727.668762407095</v>
      </c>
      <c r="K25" s="11">
        <f>'Bofæller A conto maj - dec'!E17+'Bofæller A conto jan - apr'!E17</f>
        <v>17700</v>
      </c>
      <c r="L25" s="11">
        <f t="shared" si="0"/>
        <v>-1972.3312375929054</v>
      </c>
      <c r="M25" s="11">
        <f t="shared" si="1"/>
        <v>2630.847950823385</v>
      </c>
      <c r="N25" s="8"/>
      <c r="O25" s="8"/>
      <c r="Q25" s="11"/>
      <c r="R25" s="11"/>
      <c r="S25" s="11"/>
      <c r="T25" s="11"/>
    </row>
    <row r="26" spans="1:20" ht="12.75">
      <c r="A26" s="3" t="s">
        <v>42</v>
      </c>
      <c r="B26" s="14">
        <v>132</v>
      </c>
      <c r="C26" s="1">
        <v>2</v>
      </c>
      <c r="D26" s="11">
        <f>Gasafregning!C8</f>
        <v>4631</v>
      </c>
      <c r="E26" s="11">
        <f>Gasafregning!B8</f>
        <v>40318.02</v>
      </c>
      <c r="F26" s="11">
        <f>E26*(0.4)*(C26)/(C25+C26+C27)</f>
        <v>3125.427906976744</v>
      </c>
      <c r="G26" s="11">
        <f>(E26)*(0.6)*(B26)/(B25+B26+B27)</f>
        <v>6583.8911010309275</v>
      </c>
      <c r="H26" s="5"/>
      <c r="I26" s="3">
        <v>13</v>
      </c>
      <c r="J26" s="11">
        <f>SUM(F26:G26)</f>
        <v>9709.319008007671</v>
      </c>
      <c r="K26" s="11">
        <f>'Bofæller A conto maj - dec'!E18+'Bofæller A conto jan - apr'!E18</f>
        <v>9096</v>
      </c>
      <c r="L26" s="11">
        <f t="shared" si="0"/>
        <v>613.3190080076711</v>
      </c>
      <c r="M26" s="11">
        <f t="shared" si="1"/>
        <v>1624.1276696495033</v>
      </c>
      <c r="N26" s="8">
        <f>D26/SUM(B25:B27)</f>
        <v>9.548453608247423</v>
      </c>
      <c r="O26" s="8"/>
      <c r="P26" s="11"/>
      <c r="Q26" s="11"/>
      <c r="R26" s="11"/>
      <c r="S26" s="11"/>
      <c r="T26" s="11"/>
    </row>
    <row r="27" spans="1:20" ht="12.75">
      <c r="A27" s="3">
        <v>14</v>
      </c>
      <c r="B27" s="14">
        <v>163</v>
      </c>
      <c r="C27" s="1">
        <v>4.32</v>
      </c>
      <c r="F27" s="11">
        <f>E26*(0.4)*(C27)/(C25+C26+C27)</f>
        <v>6750.924279069767</v>
      </c>
      <c r="G27" s="11">
        <f>(E26)*(0.6)*(B27)/(B25+B26+B27)</f>
        <v>8130.107950515463</v>
      </c>
      <c r="H27" s="5"/>
      <c r="I27" s="3">
        <v>14</v>
      </c>
      <c r="J27" s="11">
        <f>SUM(F27:G27)</f>
        <v>14881.032229585231</v>
      </c>
      <c r="K27" s="11">
        <f>'Bofæller A conto maj - dec'!E19+'Bofæller A conto jan - apr'!E19</f>
        <v>18014</v>
      </c>
      <c r="L27" s="11">
        <f t="shared" si="0"/>
        <v>-3132.967770414769</v>
      </c>
      <c r="M27" s="11">
        <f t="shared" si="1"/>
        <v>2489.2267085964013</v>
      </c>
      <c r="N27" s="8"/>
      <c r="O27" s="8"/>
      <c r="Q27" s="11"/>
      <c r="R27" s="11"/>
      <c r="S27" s="11"/>
      <c r="T27" s="11"/>
    </row>
    <row r="28" spans="1:20" ht="12.75">
      <c r="A28" s="3"/>
      <c r="B28" s="14"/>
      <c r="C28" s="1"/>
      <c r="H28" s="5"/>
      <c r="I28" s="3"/>
      <c r="J28" s="11"/>
      <c r="N28" s="8"/>
      <c r="O28" s="8"/>
      <c r="Q28" s="11"/>
      <c r="R28" s="11"/>
      <c r="S28" s="11"/>
      <c r="T28" s="11"/>
    </row>
    <row r="29" spans="1:20" ht="12.75">
      <c r="A29" s="3" t="s">
        <v>13</v>
      </c>
      <c r="B29" s="14">
        <v>145</v>
      </c>
      <c r="C29" s="1">
        <v>2</v>
      </c>
      <c r="F29" s="11">
        <f>E30*(0.4)*(C29)/(C29+C30+C31)</f>
        <v>4646.598666666667</v>
      </c>
      <c r="G29" s="11">
        <f>(E30)*(0.6)*(B29)/(B29+B30+B31)</f>
        <v>7376.899343065693</v>
      </c>
      <c r="H29" s="5"/>
      <c r="I29" s="3" t="s">
        <v>13</v>
      </c>
      <c r="J29" s="11">
        <f>SUM(F29:G29)</f>
        <v>12023.49800973236</v>
      </c>
      <c r="K29" s="11">
        <f>'Bofæller A conto maj - dec'!E20+'Bofæller A conto jan - apr'!E20</f>
        <v>14086</v>
      </c>
      <c r="L29" s="11">
        <f>J29-K29</f>
        <v>-2062.5019902676395</v>
      </c>
      <c r="M29" s="11">
        <f t="shared" si="1"/>
        <v>2011.2322797795368</v>
      </c>
      <c r="N29" s="8"/>
      <c r="O29" s="8"/>
      <c r="Q29" s="11"/>
      <c r="R29" s="11"/>
      <c r="S29" s="11"/>
      <c r="T29" s="11"/>
    </row>
    <row r="30" spans="1:20" ht="12.75">
      <c r="A30" s="3" t="s">
        <v>23</v>
      </c>
      <c r="B30" s="14">
        <v>132</v>
      </c>
      <c r="C30" s="1">
        <v>2</v>
      </c>
      <c r="D30" s="11">
        <f>Gasafregning!C9</f>
        <v>4001</v>
      </c>
      <c r="E30" s="11">
        <f>Gasafregning!B9</f>
        <v>34849.49</v>
      </c>
      <c r="F30" s="11">
        <f>E30*(0.4)*(C30)/(C29+C30+C31)</f>
        <v>4646.598666666667</v>
      </c>
      <c r="G30" s="11">
        <f>(E30)*(0.6)*(B30)/(B29+B30+B31)</f>
        <v>6715.5221605839415</v>
      </c>
      <c r="H30" s="5"/>
      <c r="I30" s="3" t="s">
        <v>23</v>
      </c>
      <c r="J30" s="11">
        <f>SUM(F30:G30)</f>
        <v>11362.120827250608</v>
      </c>
      <c r="K30" s="11">
        <f>'Bofæller A conto maj - dec'!E21+'Bofæller A conto jan - apr'!E21</f>
        <v>13308</v>
      </c>
      <c r="L30" s="11">
        <f t="shared" si="0"/>
        <v>-1945.8791727493917</v>
      </c>
      <c r="M30" s="11">
        <f t="shared" si="1"/>
        <v>1900.6003208071786</v>
      </c>
      <c r="N30" s="8">
        <f>D30/SUM(B29:B31)</f>
        <v>9.734793187347933</v>
      </c>
      <c r="O30" s="8"/>
      <c r="P30" s="11"/>
      <c r="Q30" s="11"/>
      <c r="R30" s="11"/>
      <c r="S30" s="11"/>
      <c r="T30" s="11"/>
    </row>
    <row r="31" spans="1:20" ht="12.75">
      <c r="A31" s="3" t="s">
        <v>14</v>
      </c>
      <c r="B31" s="14">
        <v>134</v>
      </c>
      <c r="C31" s="1">
        <v>2</v>
      </c>
      <c r="F31" s="11">
        <f>E30*(0.4)*(C31)/(C29+C30+C31)</f>
        <v>4646.598666666667</v>
      </c>
      <c r="G31" s="11">
        <f>(E30)*(0.6)*(B31)/(B29+B30+B31)</f>
        <v>6817.272496350364</v>
      </c>
      <c r="H31" s="5"/>
      <c r="I31" s="3" t="s">
        <v>14</v>
      </c>
      <c r="J31" s="11">
        <f>SUM(F31:G31)</f>
        <v>11463.871163017031</v>
      </c>
      <c r="K31" s="11">
        <f>'Bofæller A conto maj - dec'!E22+'Bofæller A conto jan - apr'!E22</f>
        <v>13428</v>
      </c>
      <c r="L31" s="11">
        <f t="shared" si="0"/>
        <v>-1964.128836982969</v>
      </c>
      <c r="M31" s="11">
        <f t="shared" si="1"/>
        <v>1917.6206221875411</v>
      </c>
      <c r="N31" s="8"/>
      <c r="O31" s="8"/>
      <c r="Q31" s="11"/>
      <c r="R31" s="11"/>
      <c r="S31" s="11"/>
      <c r="T31" s="11"/>
    </row>
    <row r="32" spans="1:20" ht="12.75">
      <c r="A32" s="3"/>
      <c r="B32" s="14"/>
      <c r="C32" s="1"/>
      <c r="H32" s="5"/>
      <c r="I32" s="3"/>
      <c r="J32" s="11"/>
      <c r="N32" s="8"/>
      <c r="O32" s="5"/>
      <c r="Q32" s="11"/>
      <c r="R32" s="11"/>
      <c r="S32" s="11"/>
      <c r="T32" s="11"/>
    </row>
    <row r="33" spans="1:20" ht="12.75">
      <c r="A33" s="3" t="s">
        <v>15</v>
      </c>
      <c r="B33" s="14">
        <v>132.226221079691</v>
      </c>
      <c r="C33" s="1">
        <v>2</v>
      </c>
      <c r="F33" s="11">
        <f>E34*(0.4)*(C33)/(C33+C34+C35)</f>
        <v>3815.667</v>
      </c>
      <c r="G33" s="11">
        <f>(E34)*(0.6)*(B33)/(B33+B34+B35)</f>
        <v>7393.420040822833</v>
      </c>
      <c r="H33" s="5"/>
      <c r="I33" s="3" t="s">
        <v>15</v>
      </c>
      <c r="J33" s="11">
        <f>SUM(F33:G33)</f>
        <v>11209.087040822833</v>
      </c>
      <c r="K33" s="11">
        <f>'Bofæller A conto maj - dec'!E23+'Bofæller A conto jan - apr'!E23</f>
        <v>11690</v>
      </c>
      <c r="L33" s="11">
        <f>J33-K33</f>
        <v>-480.91295917716707</v>
      </c>
      <c r="M33" s="11">
        <f t="shared" si="1"/>
        <v>1875.001573178885</v>
      </c>
      <c r="N33" s="8"/>
      <c r="O33" s="5"/>
      <c r="Q33" s="11"/>
      <c r="R33" s="11"/>
      <c r="S33" s="11"/>
      <c r="T33" s="11"/>
    </row>
    <row r="34" spans="1:20" ht="12.75">
      <c r="A34" s="3" t="s">
        <v>16</v>
      </c>
      <c r="B34" s="14">
        <v>132.217223650386</v>
      </c>
      <c r="C34" s="1">
        <v>2</v>
      </c>
      <c r="D34" s="11">
        <f>Gasafregning!C10</f>
        <v>4382</v>
      </c>
      <c r="E34" s="11">
        <f>Gasafregning!B10</f>
        <v>38156.67</v>
      </c>
      <c r="F34" s="11">
        <f>E34*(0.4)*(C34)/(C33+C34+C35)</f>
        <v>3815.667</v>
      </c>
      <c r="G34" s="11">
        <f>(E34)*(0.6)*(B34)/(B33+B34+B35)</f>
        <v>7392.916950183198</v>
      </c>
      <c r="H34" s="5"/>
      <c r="I34" s="3" t="s">
        <v>16</v>
      </c>
      <c r="J34" s="11">
        <f>SUM(F34:G34)</f>
        <v>11208.583950183198</v>
      </c>
      <c r="K34" s="11">
        <f>'Bofæller A conto maj - dec'!E24+'Bofæller A conto jan - apr'!E24</f>
        <v>11362</v>
      </c>
      <c r="L34" s="11">
        <f t="shared" si="0"/>
        <v>-153.41604981680211</v>
      </c>
      <c r="M34" s="11">
        <f t="shared" si="1"/>
        <v>1874.9174186230919</v>
      </c>
      <c r="N34" s="8">
        <f>D34/SUM(B33:B35)</f>
        <v>10.702332779778184</v>
      </c>
      <c r="O34" s="5"/>
      <c r="P34" s="11"/>
      <c r="Q34" s="11"/>
      <c r="R34" s="11"/>
      <c r="S34" s="11"/>
      <c r="T34" s="11"/>
    </row>
    <row r="35" spans="1:20" ht="12.75">
      <c r="A35" s="3" t="s">
        <v>17</v>
      </c>
      <c r="B35" s="14">
        <v>145</v>
      </c>
      <c r="C35" s="1">
        <v>4</v>
      </c>
      <c r="F35" s="11">
        <f>E34*(0.4)*(C35)/(C33+C34+C35)</f>
        <v>7631.334</v>
      </c>
      <c r="G35" s="11">
        <f>(E34)*(0.6)*(B35)/(B33+B34+B35)</f>
        <v>8107.665008993965</v>
      </c>
      <c r="H35" s="5"/>
      <c r="I35" s="3" t="s">
        <v>17</v>
      </c>
      <c r="J35" s="11">
        <f>SUM(F35:G35)</f>
        <v>15738.999008993964</v>
      </c>
      <c r="K35" s="11">
        <f>'Bofæller A conto maj - dec'!E25+'Bofæller A conto jan - apr'!E25</f>
        <v>15902</v>
      </c>
      <c r="L35" s="11">
        <f t="shared" si="0"/>
        <v>-163.0009910060362</v>
      </c>
      <c r="M35" s="11">
        <f t="shared" si="1"/>
        <v>2632.7432193762575</v>
      </c>
      <c r="N35" s="8"/>
      <c r="O35" s="8"/>
      <c r="Q35" s="11"/>
      <c r="R35" s="11"/>
      <c r="S35" s="11"/>
      <c r="T35" s="11"/>
    </row>
    <row r="36" spans="1:20" ht="12.75">
      <c r="A36" s="3"/>
      <c r="B36" s="14"/>
      <c r="C36" s="1"/>
      <c r="H36" s="5"/>
      <c r="I36" s="3"/>
      <c r="J36" s="11"/>
      <c r="N36" s="8"/>
      <c r="O36" s="8"/>
      <c r="Q36" s="11"/>
      <c r="R36" s="11"/>
      <c r="S36" s="11"/>
      <c r="T36" s="11"/>
    </row>
    <row r="37" spans="1:20" ht="12.75">
      <c r="A37" s="3" t="s">
        <v>18</v>
      </c>
      <c r="B37" s="14">
        <v>145</v>
      </c>
      <c r="C37" s="1">
        <v>4</v>
      </c>
      <c r="G37" s="11">
        <f>(E38)*(B37)/(B37+B38+B39)</f>
        <v>11178.913972286375</v>
      </c>
      <c r="H37" s="5"/>
      <c r="I37" s="3" t="s">
        <v>18</v>
      </c>
      <c r="J37" s="11">
        <f>SUM(F37:G37)</f>
        <v>11178.913972286375</v>
      </c>
      <c r="K37" s="11">
        <f>'Bofæller A conto maj - dec'!E26+'Bofæller A conto jan - apr'!E26</f>
        <v>13932</v>
      </c>
      <c r="L37" s="11">
        <f t="shared" si="0"/>
        <v>-2753.0860277136253</v>
      </c>
      <c r="M37" s="11">
        <f t="shared" si="1"/>
        <v>1869.9543689982543</v>
      </c>
      <c r="N37" s="8"/>
      <c r="O37" s="8"/>
      <c r="Q37" s="11"/>
      <c r="R37" s="11"/>
      <c r="S37" s="11"/>
      <c r="T37" s="11"/>
    </row>
    <row r="38" spans="1:20" ht="12.75">
      <c r="A38" s="3" t="s">
        <v>19</v>
      </c>
      <c r="B38" s="14">
        <v>132</v>
      </c>
      <c r="C38" s="1">
        <v>2</v>
      </c>
      <c r="D38" s="11">
        <f>Gasafregning!C11</f>
        <v>3832</v>
      </c>
      <c r="E38" s="11">
        <f>Gasafregning!B11</f>
        <v>33382.55</v>
      </c>
      <c r="G38" s="11">
        <f>(E38)*(B38)/(B37+B38+B39)</f>
        <v>10176.66651270208</v>
      </c>
      <c r="H38" s="5"/>
      <c r="I38" s="3" t="s">
        <v>19</v>
      </c>
      <c r="J38" s="11">
        <f>SUM(F38:G38)</f>
        <v>10176.66651270208</v>
      </c>
      <c r="K38" s="11">
        <f>'Bofæller A conto maj - dec'!E27+'Bofæller A conto jan - apr'!E27</f>
        <v>12684</v>
      </c>
      <c r="L38" s="11">
        <f t="shared" si="0"/>
        <v>-2507.3334872979194</v>
      </c>
      <c r="M38" s="11">
        <f t="shared" si="1"/>
        <v>1702.3032876397904</v>
      </c>
      <c r="N38" s="8">
        <f>D38/SUM(B37:B39)</f>
        <v>8.849884526558892</v>
      </c>
      <c r="O38" s="8"/>
      <c r="P38" s="11"/>
      <c r="Q38" s="11"/>
      <c r="R38" s="11"/>
      <c r="S38" s="11"/>
      <c r="T38" s="11"/>
    </row>
    <row r="39" spans="1:20" ht="12.75">
      <c r="A39" s="3" t="s">
        <v>20</v>
      </c>
      <c r="B39" s="14">
        <v>156</v>
      </c>
      <c r="C39" s="1">
        <v>3.83</v>
      </c>
      <c r="G39" s="11">
        <f>(E38)*(B39)/(B37+B38+B39)</f>
        <v>12026.96951501155</v>
      </c>
      <c r="H39" s="5"/>
      <c r="I39" s="3" t="s">
        <v>20</v>
      </c>
      <c r="J39" s="11">
        <f>SUM(F39:G39)</f>
        <v>12026.96951501155</v>
      </c>
      <c r="K39" s="11">
        <f>'Bofæller A conto maj - dec'!E28+'Bofæller A conto jan - apr'!E28</f>
        <v>14992</v>
      </c>
      <c r="L39" s="11">
        <f t="shared" si="0"/>
        <v>-2965.0304849884506</v>
      </c>
      <c r="M39" s="82">
        <v>1702</v>
      </c>
      <c r="N39" s="8"/>
      <c r="O39" s="8"/>
      <c r="Q39" s="11"/>
      <c r="R39" s="11"/>
      <c r="S39" s="11"/>
      <c r="T39" s="11"/>
    </row>
    <row r="40" spans="1:20" ht="12.75">
      <c r="A40" s="3" t="s">
        <v>4</v>
      </c>
      <c r="B40" s="14" t="s">
        <v>4</v>
      </c>
      <c r="C40" s="1"/>
      <c r="E40" s="11" t="s">
        <v>4</v>
      </c>
      <c r="H40" s="5"/>
      <c r="I40" s="3" t="s">
        <v>4</v>
      </c>
      <c r="J40" s="11"/>
      <c r="N40" s="8"/>
      <c r="O40" s="8"/>
      <c r="Q40" s="11"/>
      <c r="R40" s="11"/>
      <c r="S40" s="11"/>
      <c r="T40" s="11"/>
    </row>
    <row r="41" spans="1:20" ht="12.75">
      <c r="A41" s="3" t="s">
        <v>21</v>
      </c>
      <c r="B41" s="14">
        <v>132</v>
      </c>
      <c r="C41" s="1">
        <v>1</v>
      </c>
      <c r="E41" s="11">
        <f>E43*B60</f>
        <v>20599.60250866495</v>
      </c>
      <c r="F41" s="11">
        <f>$E$41*$B$62*(C41)/(C$41+C$42)</f>
        <v>1518.5877429429318</v>
      </c>
      <c r="G41" s="11">
        <f>$E$41*$B$61*(B41)/(B$41+B$42)</f>
        <v>8309.10525808903</v>
      </c>
      <c r="H41" s="5"/>
      <c r="I41" s="3" t="s">
        <v>21</v>
      </c>
      <c r="J41" s="11">
        <f>SUM(F41:G41)</f>
        <v>9827.693001031961</v>
      </c>
      <c r="K41" s="11">
        <f>'Bofæller A conto maj - dec'!E29+'Bofæller A conto jan - apr'!E29</f>
        <v>14224</v>
      </c>
      <c r="L41" s="11">
        <f t="shared" si="0"/>
        <v>-4396.306998968039</v>
      </c>
      <c r="M41" s="11">
        <f t="shared" si="1"/>
        <v>1643.92869557924</v>
      </c>
      <c r="N41" s="8"/>
      <c r="O41" s="8"/>
      <c r="Q41" s="11"/>
      <c r="R41" s="11"/>
      <c r="S41" s="11"/>
      <c r="T41" s="11"/>
    </row>
    <row r="42" spans="1:20" ht="12.75">
      <c r="A42" s="3" t="s">
        <v>22</v>
      </c>
      <c r="B42" s="14">
        <v>147</v>
      </c>
      <c r="C42" s="1">
        <v>1</v>
      </c>
      <c r="F42" s="11">
        <f>$E$41*$B$62*(C42)/(C$41+C$42)</f>
        <v>1518.5877429429318</v>
      </c>
      <c r="G42" s="11">
        <f>$E$41*$B$61*(B42)/(B$41+B$42)</f>
        <v>9253.321764690056</v>
      </c>
      <c r="H42" s="5"/>
      <c r="I42" s="3" t="s">
        <v>22</v>
      </c>
      <c r="J42" s="11">
        <f>SUM(F42:G42)</f>
        <v>10771.909507632987</v>
      </c>
      <c r="K42" s="11">
        <f>'Bofæller A conto maj - dec'!E30+'Bofæller A conto jan - apr'!E30</f>
        <v>16930</v>
      </c>
      <c r="L42" s="11">
        <f t="shared" si="0"/>
        <v>-6158.090492367013</v>
      </c>
      <c r="M42" s="11">
        <f t="shared" si="1"/>
        <v>1801.8726413127931</v>
      </c>
      <c r="N42" s="8">
        <f>D43*B60/SUM(B41:B42)</f>
        <v>8.485999064498392</v>
      </c>
      <c r="O42" s="8"/>
      <c r="Q42" s="11"/>
      <c r="R42" s="11"/>
      <c r="S42" s="11"/>
      <c r="T42" s="11"/>
    </row>
    <row r="43" spans="1:20" ht="12.75">
      <c r="A43" s="3" t="s">
        <v>63</v>
      </c>
      <c r="B43" s="14">
        <v>126.7</v>
      </c>
      <c r="C43" s="1">
        <v>2</v>
      </c>
      <c r="D43" s="11">
        <f>Gasafregning!C12</f>
        <v>5869</v>
      </c>
      <c r="E43" s="11">
        <f>Gasafregning!B12</f>
        <v>51064.11</v>
      </c>
      <c r="F43" s="11">
        <f>E$44*B$66*(C43)/(C$43+C$44)</f>
        <v>2148.4538338924617</v>
      </c>
      <c r="G43" s="11">
        <f>(E$44)*B$65/2</f>
        <v>12009.572994828832</v>
      </c>
      <c r="H43" s="5"/>
      <c r="I43" s="3" t="s">
        <v>63</v>
      </c>
      <c r="J43" s="11">
        <f>SUM(F43:G43)</f>
        <v>14158.026828721293</v>
      </c>
      <c r="K43" s="11">
        <f>'Bofæller A conto maj - dec'!E31+'Bofæller A conto jan - apr'!E31</f>
        <v>14526</v>
      </c>
      <c r="L43" s="11">
        <f t="shared" si="0"/>
        <v>-367.973171278707</v>
      </c>
      <c r="M43" s="11">
        <f t="shared" si="1"/>
        <v>2368.285880935811</v>
      </c>
      <c r="N43" s="8"/>
      <c r="O43" s="8"/>
      <c r="P43" s="11"/>
      <c r="Q43" s="11"/>
      <c r="R43" s="11"/>
      <c r="S43" s="11"/>
      <c r="T43" s="11"/>
    </row>
    <row r="44" spans="1:20" ht="12.75">
      <c r="A44" s="3" t="s">
        <v>62</v>
      </c>
      <c r="B44" s="14">
        <v>104.3</v>
      </c>
      <c r="C44" s="1">
        <v>4</v>
      </c>
      <c r="E44" s="11">
        <f>E43*B64</f>
        <v>30464.50749133505</v>
      </c>
      <c r="F44" s="11">
        <f>E$44*B$66*(C44)/(C$43+C$44)</f>
        <v>4296.907667784923</v>
      </c>
      <c r="G44" s="11">
        <f>(E$44)*B$65/2</f>
        <v>12009.572994828832</v>
      </c>
      <c r="H44" s="5"/>
      <c r="I44" s="3" t="s">
        <v>62</v>
      </c>
      <c r="J44" s="11">
        <f>SUM(F44:G44)</f>
        <v>16306.480662613754</v>
      </c>
      <c r="K44" s="11">
        <f>'Bofæller A conto maj - dec'!E32+'Bofæller A conto jan - apr'!E32</f>
        <v>15940</v>
      </c>
      <c r="L44" s="11">
        <f>J44-K44</f>
        <v>366.48066261375425</v>
      </c>
      <c r="M44" s="11">
        <f t="shared" si="1"/>
        <v>2727.668790871254</v>
      </c>
      <c r="N44" s="8"/>
      <c r="O44" s="8"/>
      <c r="Q44" s="11"/>
      <c r="R44" s="11"/>
      <c r="S44" s="11"/>
      <c r="T44" s="11"/>
    </row>
    <row r="45" spans="2:20" ht="12.75">
      <c r="B45" s="5"/>
      <c r="H45" s="5"/>
      <c r="J45" s="11"/>
      <c r="N45" s="8"/>
      <c r="O45" s="8"/>
      <c r="Q45" s="11"/>
      <c r="R45" s="11"/>
      <c r="S45" s="11"/>
      <c r="T45" s="11"/>
    </row>
    <row r="46" spans="1:20" ht="12.75">
      <c r="A46" s="3" t="s">
        <v>93</v>
      </c>
      <c r="B46" s="14">
        <v>375</v>
      </c>
      <c r="C46" s="1"/>
      <c r="D46" s="11">
        <f>Gasafregning!C13</f>
        <v>5374</v>
      </c>
      <c r="E46" s="11">
        <f>Gasafregning!B13</f>
        <v>46767.42</v>
      </c>
      <c r="F46" s="11">
        <f>E46-F47</f>
        <v>38128.88371144603</v>
      </c>
      <c r="H46" s="5"/>
      <c r="I46" s="3" t="s">
        <v>93</v>
      </c>
      <c r="J46" s="11">
        <f>SUM(F46:G46)</f>
        <v>38128.88371144603</v>
      </c>
      <c r="K46" s="11">
        <f>'Fælleshuset A conto maj - dec'!N4+'Fælleshuset A conto jan - apr'!N4</f>
        <v>49194</v>
      </c>
      <c r="L46" s="11">
        <f>J46-K46</f>
        <v>-11065.116288553967</v>
      </c>
      <c r="M46" s="11">
        <f t="shared" si="1"/>
        <v>6378.014255946757</v>
      </c>
      <c r="N46" s="8">
        <f>D46/B46</f>
        <v>14.330666666666668</v>
      </c>
      <c r="O46" s="8"/>
      <c r="P46" s="11"/>
      <c r="Q46" s="11"/>
      <c r="R46" s="11"/>
      <c r="S46" s="11"/>
      <c r="T46" s="11"/>
    </row>
    <row r="47" spans="1:20" ht="12.75">
      <c r="A47" s="3" t="s">
        <v>95</v>
      </c>
      <c r="B47" s="14"/>
      <c r="C47" s="1"/>
      <c r="F47" s="11">
        <f>Gasafregning!B18</f>
        <v>8638.536288553963</v>
      </c>
      <c r="H47" s="5"/>
      <c r="I47" s="3"/>
      <c r="J47" s="11">
        <f>SUM(F47:G47)</f>
        <v>8638.536288553963</v>
      </c>
      <c r="K47" s="55">
        <v>8606</v>
      </c>
      <c r="L47" s="11">
        <f>J47-K47</f>
        <v>32.53628855396346</v>
      </c>
      <c r="N47" s="8"/>
      <c r="O47" s="8" t="s">
        <v>161</v>
      </c>
      <c r="P47" s="11"/>
      <c r="Q47" s="11"/>
      <c r="R47" s="11"/>
      <c r="S47" s="11"/>
      <c r="T47" s="11"/>
    </row>
    <row r="48" spans="2:18" ht="12.75">
      <c r="B48" s="5"/>
      <c r="H48" s="5"/>
      <c r="I48" s="5"/>
      <c r="J48" s="11"/>
      <c r="N48" s="5"/>
      <c r="Q48" s="11"/>
      <c r="R48" s="11"/>
    </row>
    <row r="49" spans="1:20" ht="12.75">
      <c r="A49" s="2" t="s">
        <v>24</v>
      </c>
      <c r="B49" s="11">
        <f>SUM(B10:B46)</f>
        <v>4203.443444730077</v>
      </c>
      <c r="D49" s="11">
        <f>SUM(D11:D47)</f>
        <v>42862</v>
      </c>
      <c r="E49" s="11">
        <f>SUM(E11:E47)-E41-E44</f>
        <v>373250.94999999995</v>
      </c>
      <c r="F49" s="11">
        <f>SUM(F10:F47)</f>
        <v>142700.31022321281</v>
      </c>
      <c r="G49" s="11">
        <f>SUM(G10:G47)</f>
        <v>230550.63977678714</v>
      </c>
      <c r="H49" s="5"/>
      <c r="I49" s="5" t="s">
        <v>24</v>
      </c>
      <c r="J49" s="11">
        <f>SUM(J10:J47)</f>
        <v>373250.94999999995</v>
      </c>
      <c r="K49" s="11">
        <f>SUM(K10:K47)</f>
        <v>442290</v>
      </c>
      <c r="L49" s="11">
        <f>SUM(L10:L47)</f>
        <v>-69039.04999999999</v>
      </c>
      <c r="M49" s="11">
        <f>SUM(M10:M47)</f>
        <v>60502.53194208377</v>
      </c>
      <c r="N49" s="5"/>
      <c r="O49" s="5"/>
      <c r="R49" s="4"/>
      <c r="T49" s="4"/>
    </row>
    <row r="51" spans="1:10" ht="12.75">
      <c r="A51" s="2" t="s">
        <v>95</v>
      </c>
      <c r="D51" s="11">
        <f>Gasafregning!D18</f>
        <v>992</v>
      </c>
      <c r="E51" s="11">
        <f>Gasafregning!B18</f>
        <v>8638.536288553963</v>
      </c>
      <c r="J51" s="11"/>
    </row>
    <row r="52" ht="12.75">
      <c r="B52" s="55"/>
    </row>
    <row r="53" spans="1:21" ht="12.75">
      <c r="A53" s="2" t="s">
        <v>48</v>
      </c>
      <c r="B53" s="11">
        <f>(B21+B22+B23+B33+B34+B35)</f>
        <v>831.443444730077</v>
      </c>
      <c r="C53" s="3"/>
      <c r="D53" s="11">
        <f>SUM(D22+D34)</f>
        <v>8060</v>
      </c>
      <c r="E53" s="11">
        <f>SUM(E22+E34)</f>
        <v>70202.47</v>
      </c>
      <c r="S53" s="6"/>
      <c r="U53" s="6"/>
    </row>
    <row r="54" spans="1:21" ht="12.75">
      <c r="A54" s="2" t="s">
        <v>40</v>
      </c>
      <c r="B54" s="11">
        <f>B49-B53-B46-SUM(B41:B44)</f>
        <v>2487.0000000000005</v>
      </c>
      <c r="C54" s="3"/>
      <c r="D54" s="11">
        <f>(D11+D15+D18+D26+D30+D38)</f>
        <v>23559</v>
      </c>
      <c r="E54" s="11">
        <f>(E11+E15+E18+E26+E30+E38)</f>
        <v>205216.95</v>
      </c>
      <c r="S54" s="6"/>
      <c r="U54" s="6"/>
    </row>
    <row r="55" ht="12.75">
      <c r="U55" s="6"/>
    </row>
    <row r="56" spans="1:22" ht="12.75">
      <c r="A56" s="2" t="s">
        <v>49</v>
      </c>
      <c r="B56" s="49"/>
      <c r="S56" s="6"/>
      <c r="T56" s="6"/>
      <c r="U56" s="6"/>
      <c r="V56" s="6"/>
    </row>
    <row r="57" spans="1:21" ht="12.75">
      <c r="A57" s="2" t="s">
        <v>33</v>
      </c>
      <c r="B57" s="50">
        <f>Gasafregning!C33</f>
        <v>0.8143013363483032</v>
      </c>
      <c r="S57" s="6"/>
      <c r="U57" s="6"/>
    </row>
    <row r="58" spans="1:21" ht="12.75">
      <c r="A58" s="2" t="s">
        <v>43</v>
      </c>
      <c r="B58" s="50">
        <f>Gasafregning!C34</f>
        <v>0.18569866365169685</v>
      </c>
      <c r="S58" s="6"/>
      <c r="U58" s="6"/>
    </row>
    <row r="59" spans="2:21" ht="12.75">
      <c r="B59" s="49"/>
      <c r="U59" s="6"/>
    </row>
    <row r="60" spans="1:21" ht="12.75">
      <c r="A60" s="2" t="s">
        <v>44</v>
      </c>
      <c r="B60" s="50">
        <f>Gasafregning!C38</f>
        <v>0.4034066687672604</v>
      </c>
      <c r="O60" s="15"/>
      <c r="P60" s="15"/>
      <c r="Q60" s="15"/>
      <c r="R60" s="15"/>
      <c r="S60" s="6"/>
      <c r="U60" s="6"/>
    </row>
    <row r="61" spans="1:21" ht="12.75">
      <c r="A61" s="10" t="s">
        <v>46</v>
      </c>
      <c r="B61" s="50">
        <f>Gasafregning!C28</f>
        <v>0.852561451872272</v>
      </c>
      <c r="O61" s="15"/>
      <c r="P61" s="15"/>
      <c r="Q61" s="15"/>
      <c r="R61" s="15"/>
      <c r="S61" s="6"/>
      <c r="U61" s="6"/>
    </row>
    <row r="62" spans="1:21" ht="12.75">
      <c r="A62" s="10" t="s">
        <v>47</v>
      </c>
      <c r="B62" s="50">
        <f>Gasafregning!C29</f>
        <v>0.147438548127728</v>
      </c>
      <c r="O62" s="15"/>
      <c r="P62" s="15"/>
      <c r="Q62" s="15"/>
      <c r="R62" s="15"/>
      <c r="S62" s="6"/>
      <c r="U62" s="6"/>
    </row>
    <row r="63" spans="2:21" ht="12.75">
      <c r="B63" s="50"/>
      <c r="O63" s="15"/>
      <c r="P63" s="15"/>
      <c r="Q63" s="15"/>
      <c r="R63" s="15"/>
      <c r="S63" s="6"/>
      <c r="U63" s="6"/>
    </row>
    <row r="64" spans="1:2" ht="12.75">
      <c r="A64" s="2" t="s">
        <v>45</v>
      </c>
      <c r="B64" s="50">
        <f>Gasafregning!C39</f>
        <v>0.5965933312327396</v>
      </c>
    </row>
    <row r="65" spans="1:2" ht="12.75">
      <c r="A65" s="10" t="s">
        <v>46</v>
      </c>
      <c r="B65" s="50">
        <f>Gasafregning!C23</f>
        <v>0.788430470982975</v>
      </c>
    </row>
    <row r="66" spans="1:2" ht="12.75">
      <c r="A66" s="10" t="s">
        <v>47</v>
      </c>
      <c r="B66" s="50">
        <f>Gasafregning!C24</f>
        <v>0.21156952901702497</v>
      </c>
    </row>
    <row r="68" ht="12.75">
      <c r="C68" s="2" t="s">
        <v>59</v>
      </c>
    </row>
  </sheetData>
  <sheetProtection password="F3CB" sheet="1" objects="1" scenarios="1"/>
  <protectedRanges>
    <protectedRange sqref="F4" name="Omr?de3"/>
    <protectedRange sqref="C4" name="Omr?de2"/>
    <protectedRange sqref="B10:C47" name="Omr?de1"/>
  </protectedRanges>
  <printOptions/>
  <pageMargins left="0.75" right="0.75" top="1" bottom="1" header="0.5" footer="0.5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2" width="10.140625" style="0" bestFit="1" customWidth="1"/>
    <col min="4" max="4" width="8.8515625" style="0" bestFit="1" customWidth="1"/>
  </cols>
  <sheetData>
    <row r="1" spans="1:4" s="1" customFormat="1" ht="12.75">
      <c r="A1" s="1" t="s">
        <v>170</v>
      </c>
      <c r="D1" s="72">
        <f>SUM(D4:D5)</f>
        <v>3.6232876712328768</v>
      </c>
    </row>
    <row r="2" spans="4:6" s="1" customFormat="1" ht="12.75">
      <c r="D2" s="72"/>
      <c r="F2" s="77" t="s">
        <v>174</v>
      </c>
    </row>
    <row r="3" spans="1:6" ht="12.75">
      <c r="A3" t="s">
        <v>168</v>
      </c>
      <c r="B3" t="s">
        <v>169</v>
      </c>
      <c r="C3" s="75" t="s">
        <v>26</v>
      </c>
      <c r="D3" s="4" t="s">
        <v>171</v>
      </c>
      <c r="F3" s="78"/>
    </row>
    <row r="4" spans="1:6" ht="12.75">
      <c r="A4" s="73">
        <v>40664</v>
      </c>
      <c r="B4" s="73">
        <v>40939</v>
      </c>
      <c r="C4">
        <v>4</v>
      </c>
      <c r="D4" s="74">
        <f>C4*(B4-A4)/365</f>
        <v>3.0136986301369864</v>
      </c>
      <c r="E4" s="2" t="s">
        <v>175</v>
      </c>
      <c r="F4" s="38">
        <f>Varmeregnskab!L$16*D4/D$1</f>
        <v>-2262.736254308277</v>
      </c>
    </row>
    <row r="5" spans="1:6" ht="12.75">
      <c r="A5" s="73">
        <v>40940</v>
      </c>
      <c r="B5" s="73">
        <v>41029</v>
      </c>
      <c r="C5">
        <v>2.5</v>
      </c>
      <c r="D5" s="74">
        <f>C5*(B5-A5)/365</f>
        <v>0.6095890410958904</v>
      </c>
      <c r="E5" s="2" t="s">
        <v>176</v>
      </c>
      <c r="F5" s="38">
        <f>Varmeregnskab!L$16*D5/D$1</f>
        <v>-457.6898332578105</v>
      </c>
    </row>
    <row r="6" spans="1:6" ht="12.75">
      <c r="A6" s="73"/>
      <c r="B6" s="73"/>
      <c r="F6" s="38">
        <f>SUM(F4:F5)</f>
        <v>-2720.4260875660875</v>
      </c>
    </row>
    <row r="7" spans="1:6" ht="12.75">
      <c r="A7" s="1" t="s">
        <v>172</v>
      </c>
      <c r="B7" s="1"/>
      <c r="C7" s="1"/>
      <c r="D7" s="72">
        <f>SUM(D10:D11)</f>
        <v>4.323287671232877</v>
      </c>
      <c r="F7" s="38"/>
    </row>
    <row r="8" spans="1:6" ht="12.75">
      <c r="A8" s="1"/>
      <c r="B8" s="1"/>
      <c r="C8" s="1"/>
      <c r="D8" s="72"/>
      <c r="F8" s="38"/>
    </row>
    <row r="9" spans="1:6" ht="12.75">
      <c r="A9" t="s">
        <v>168</v>
      </c>
      <c r="B9" t="s">
        <v>169</v>
      </c>
      <c r="C9" s="75" t="s">
        <v>26</v>
      </c>
      <c r="D9" s="4" t="s">
        <v>171</v>
      </c>
      <c r="F9" s="38"/>
    </row>
    <row r="10" spans="1:6" ht="12.75">
      <c r="A10" s="73">
        <v>40664</v>
      </c>
      <c r="B10" s="73">
        <v>40786</v>
      </c>
      <c r="C10">
        <v>5</v>
      </c>
      <c r="D10" s="74">
        <f>C10*(B10-A10)/365</f>
        <v>1.6712328767123288</v>
      </c>
      <c r="F10" s="38"/>
    </row>
    <row r="11" spans="1:6" ht="12.75">
      <c r="A11" s="73">
        <v>40787</v>
      </c>
      <c r="B11" s="73">
        <v>41029</v>
      </c>
      <c r="C11">
        <v>4</v>
      </c>
      <c r="D11" s="74">
        <f>C11*(B11-A11)/365</f>
        <v>2.652054794520548</v>
      </c>
      <c r="F11" s="38"/>
    </row>
    <row r="12" ht="12.75">
      <c r="F12" s="38"/>
    </row>
    <row r="13" spans="1:6" ht="12.75">
      <c r="A13" s="1" t="s">
        <v>173</v>
      </c>
      <c r="B13" s="1"/>
      <c r="C13" s="1"/>
      <c r="D13" s="72">
        <f>SUM(D16:D17)</f>
        <v>3.83013698630137</v>
      </c>
      <c r="F13" s="38"/>
    </row>
    <row r="14" spans="1:6" ht="12.75">
      <c r="A14" s="1"/>
      <c r="B14" s="1"/>
      <c r="C14" s="1"/>
      <c r="D14" s="72"/>
      <c r="F14" s="38"/>
    </row>
    <row r="15" spans="1:6" ht="12.75">
      <c r="A15" t="s">
        <v>168</v>
      </c>
      <c r="B15" t="s">
        <v>169</v>
      </c>
      <c r="C15" s="75" t="s">
        <v>26</v>
      </c>
      <c r="D15" s="4" t="s">
        <v>171</v>
      </c>
      <c r="F15" s="38"/>
    </row>
    <row r="16" spans="1:6" ht="12.75">
      <c r="A16" s="73">
        <v>40664</v>
      </c>
      <c r="B16" s="73">
        <v>40999</v>
      </c>
      <c r="C16">
        <v>4</v>
      </c>
      <c r="D16" s="74">
        <f>C16*(B16-A16)/365</f>
        <v>3.671232876712329</v>
      </c>
      <c r="E16" s="2" t="s">
        <v>175</v>
      </c>
      <c r="F16" s="38">
        <f>Varmeregnskab!L$39*'Antal hoveder'!D16/'Antal hoveder'!D$13</f>
        <v>-2842.0177753108183</v>
      </c>
    </row>
    <row r="17" spans="1:6" ht="12.75">
      <c r="A17" s="73">
        <v>41000</v>
      </c>
      <c r="B17" s="73">
        <v>41029</v>
      </c>
      <c r="C17">
        <v>2</v>
      </c>
      <c r="D17" s="74">
        <f>C17*(B17-A17)/365</f>
        <v>0.1589041095890411</v>
      </c>
      <c r="E17" s="2" t="s">
        <v>176</v>
      </c>
      <c r="F17" s="38">
        <f>Varmeregnskab!L$39*'Antal hoveder'!D17/'Antal hoveder'!D$13</f>
        <v>-123.01270967763243</v>
      </c>
    </row>
    <row r="18" ht="12.75">
      <c r="F18" s="38">
        <f>SUM(F16:F17)</f>
        <v>-2965.0304849884506</v>
      </c>
    </row>
    <row r="19" spans="1:6" ht="12.75">
      <c r="A19" s="1"/>
      <c r="B19" s="1"/>
      <c r="C19" s="1"/>
      <c r="D19" s="72"/>
      <c r="F19" s="38"/>
    </row>
    <row r="20" spans="1:6" ht="12.75">
      <c r="A20" s="1"/>
      <c r="B20" s="1"/>
      <c r="C20" s="1"/>
      <c r="D20" s="72"/>
      <c r="F20" s="38"/>
    </row>
    <row r="21" spans="1:6" ht="12.75">
      <c r="A21" s="1"/>
      <c r="B21" s="1"/>
      <c r="C21" s="1"/>
      <c r="D21" s="72"/>
      <c r="F21" s="38"/>
    </row>
    <row r="22" spans="3:6" ht="12.75">
      <c r="C22" s="75"/>
      <c r="D22" s="4"/>
      <c r="F22" s="38"/>
    </row>
    <row r="23" spans="1:6" ht="12.75">
      <c r="A23" s="73"/>
      <c r="B23" s="73"/>
      <c r="D23" s="74"/>
      <c r="F23" s="38"/>
    </row>
    <row r="24" spans="1:6" ht="12.75">
      <c r="A24" s="73"/>
      <c r="B24" s="73"/>
      <c r="D24" s="74"/>
      <c r="F24" s="38"/>
    </row>
    <row r="25" ht="12.75">
      <c r="F25" s="38"/>
    </row>
  </sheetData>
  <sheetProtection/>
  <mergeCells count="1">
    <mergeCell ref="F2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20.421875" style="36" customWidth="1"/>
    <col min="2" max="3" width="8.7109375" style="0" customWidth="1"/>
    <col min="7" max="8" width="10.140625" style="0" bestFit="1" customWidth="1"/>
  </cols>
  <sheetData>
    <row r="1" spans="2:4" s="33" customFormat="1" ht="12.75">
      <c r="B1" s="79" t="s">
        <v>64</v>
      </c>
      <c r="C1" s="79"/>
      <c r="D1" s="33" t="s">
        <v>65</v>
      </c>
    </row>
    <row r="2" spans="1:8" s="35" customFormat="1" ht="12.75">
      <c r="A2" s="34"/>
      <c r="B2" s="48" t="s">
        <v>66</v>
      </c>
      <c r="C2" s="48" t="s">
        <v>41</v>
      </c>
      <c r="D2" s="48" t="s">
        <v>41</v>
      </c>
      <c r="E2" s="34" t="s">
        <v>67</v>
      </c>
      <c r="F2" s="35" t="s">
        <v>68</v>
      </c>
      <c r="G2" s="35" t="s">
        <v>69</v>
      </c>
      <c r="H2" s="35" t="s">
        <v>70</v>
      </c>
    </row>
    <row r="3" ht="12.75">
      <c r="A3" s="36" t="s">
        <v>71</v>
      </c>
    </row>
    <row r="4" spans="1:39" ht="12.75">
      <c r="A4" s="37" t="s">
        <v>72</v>
      </c>
      <c r="B4" s="13">
        <v>35752.24</v>
      </c>
      <c r="C4" s="13">
        <v>4105</v>
      </c>
      <c r="D4" s="52">
        <f>Aflæsninger!D4</f>
        <v>4241</v>
      </c>
      <c r="E4" s="39">
        <v>1604853</v>
      </c>
      <c r="F4" s="39">
        <v>7560</v>
      </c>
      <c r="G4" s="39">
        <v>17931017</v>
      </c>
      <c r="H4" s="39">
        <v>40584536</v>
      </c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</row>
    <row r="5" spans="1:39" ht="12.75">
      <c r="A5" s="37" t="s">
        <v>73</v>
      </c>
      <c r="B5" s="13">
        <v>33469.37</v>
      </c>
      <c r="C5" s="13">
        <v>3842</v>
      </c>
      <c r="D5" s="52">
        <f>Aflæsninger!D5</f>
        <v>3969</v>
      </c>
      <c r="E5" s="39">
        <v>1603947</v>
      </c>
      <c r="F5" s="39">
        <v>7561</v>
      </c>
      <c r="G5" s="39">
        <v>17931315</v>
      </c>
      <c r="H5" s="39">
        <v>40584552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</row>
    <row r="6" spans="1:39" ht="12.75">
      <c r="A6" s="37" t="s">
        <v>74</v>
      </c>
      <c r="B6" s="13">
        <v>27445.28</v>
      </c>
      <c r="C6" s="13">
        <v>3148</v>
      </c>
      <c r="D6" s="52">
        <f>Aflæsninger!D6</f>
        <v>3252</v>
      </c>
      <c r="E6" s="39">
        <v>1603905</v>
      </c>
      <c r="F6" s="39">
        <v>7562</v>
      </c>
      <c r="G6" s="39">
        <v>17931517</v>
      </c>
      <c r="H6" s="39">
        <v>40584579</v>
      </c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</row>
    <row r="7" spans="1:39" ht="12.75">
      <c r="A7" s="37" t="s">
        <v>75</v>
      </c>
      <c r="B7" s="13">
        <v>32045.8</v>
      </c>
      <c r="C7" s="13">
        <v>3678</v>
      </c>
      <c r="D7" s="52">
        <f>Aflæsninger!D7</f>
        <v>3800</v>
      </c>
      <c r="E7" s="39">
        <v>1603949</v>
      </c>
      <c r="F7" s="39">
        <v>7567</v>
      </c>
      <c r="G7" s="39">
        <v>17933013</v>
      </c>
      <c r="H7" s="39">
        <v>40584668</v>
      </c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</row>
    <row r="8" spans="1:39" ht="12.75">
      <c r="A8" s="37" t="s">
        <v>76</v>
      </c>
      <c r="B8" s="13">
        <v>40318.02</v>
      </c>
      <c r="C8" s="13">
        <v>4631</v>
      </c>
      <c r="D8" s="52">
        <f>Aflæsninger!D8</f>
        <v>4804</v>
      </c>
      <c r="E8" s="39">
        <v>1561442</v>
      </c>
      <c r="F8" s="39">
        <v>7564</v>
      </c>
      <c r="G8" s="39">
        <v>17932116</v>
      </c>
      <c r="H8" s="39">
        <v>40584595</v>
      </c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ht="12.75">
      <c r="A9" s="37" t="s">
        <v>77</v>
      </c>
      <c r="B9" s="13">
        <v>34849.49</v>
      </c>
      <c r="C9" s="13">
        <v>4001</v>
      </c>
      <c r="D9" s="52">
        <f>Aflæsninger!D9</f>
        <v>4142</v>
      </c>
      <c r="E9" s="39">
        <v>1505954</v>
      </c>
      <c r="F9" s="39">
        <v>7559</v>
      </c>
      <c r="G9" s="39">
        <v>17930610</v>
      </c>
      <c r="H9" s="39">
        <v>40584501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</row>
    <row r="10" spans="1:39" ht="12.75">
      <c r="A10" s="37" t="s">
        <v>78</v>
      </c>
      <c r="B10" s="13">
        <v>38156.67</v>
      </c>
      <c r="C10" s="13">
        <v>4382</v>
      </c>
      <c r="D10" s="52">
        <f>Aflæsninger!D10</f>
        <v>4536</v>
      </c>
      <c r="E10" s="39">
        <v>1182144</v>
      </c>
      <c r="F10" s="39">
        <v>7566</v>
      </c>
      <c r="G10" s="39">
        <v>17932712</v>
      </c>
      <c r="H10" s="39">
        <v>40584633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</row>
    <row r="11" spans="1:39" ht="12.75">
      <c r="A11" s="37" t="s">
        <v>79</v>
      </c>
      <c r="B11" s="13">
        <v>33382.55</v>
      </c>
      <c r="C11" s="13">
        <v>3832</v>
      </c>
      <c r="D11" s="52">
        <f>Aflæsninger!D11</f>
        <v>3967</v>
      </c>
      <c r="E11" s="39">
        <v>1161131</v>
      </c>
      <c r="F11" s="39">
        <v>7565</v>
      </c>
      <c r="G11" s="39">
        <v>17932414</v>
      </c>
      <c r="H11" s="39">
        <v>40584617</v>
      </c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</row>
    <row r="12" spans="1:39" ht="12.75">
      <c r="A12" s="37" t="s">
        <v>80</v>
      </c>
      <c r="B12" s="13">
        <v>51064.11</v>
      </c>
      <c r="C12" s="13">
        <v>5869</v>
      </c>
      <c r="D12" s="52">
        <f>Aflæsninger!D12</f>
        <v>6076</v>
      </c>
      <c r="E12" s="39">
        <v>1130424</v>
      </c>
      <c r="F12" s="39">
        <v>4751</v>
      </c>
      <c r="G12" s="39">
        <v>2091212</v>
      </c>
      <c r="H12" s="39">
        <v>40878157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</row>
    <row r="13" spans="1:39" ht="12.75">
      <c r="A13" s="37" t="s">
        <v>93</v>
      </c>
      <c r="B13" s="13">
        <v>46767.42</v>
      </c>
      <c r="C13" s="13">
        <v>5374</v>
      </c>
      <c r="D13" s="52">
        <f>Aflæsninger!D13</f>
        <v>5563</v>
      </c>
      <c r="E13" s="39">
        <v>3100204</v>
      </c>
      <c r="F13" s="39">
        <v>8417</v>
      </c>
      <c r="G13" s="39">
        <v>40554711</v>
      </c>
      <c r="H13" s="39">
        <v>42515906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</row>
    <row r="14" spans="1:39" ht="12.75">
      <c r="A14" s="37"/>
      <c r="B14" s="38"/>
      <c r="C14" s="38"/>
      <c r="D14" s="38"/>
      <c r="E14" s="39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</row>
    <row r="15" spans="1:4" ht="12.75">
      <c r="A15" s="36" t="s">
        <v>24</v>
      </c>
      <c r="B15" s="38">
        <f>SUM(B4:B13)</f>
        <v>373250.94999999995</v>
      </c>
      <c r="C15" s="38">
        <f>SUM(C4:C13)</f>
        <v>42862</v>
      </c>
      <c r="D15" s="38">
        <f>SUM(D4:D13)</f>
        <v>44350</v>
      </c>
    </row>
    <row r="16" ht="12.75">
      <c r="A16" s="40"/>
    </row>
    <row r="17" ht="12.75">
      <c r="A17" s="40" t="s">
        <v>96</v>
      </c>
    </row>
    <row r="18" spans="1:6" ht="12.75">
      <c r="A18" s="41" t="s">
        <v>97</v>
      </c>
      <c r="B18" s="38">
        <f>D18*Varmeregnskab!I3</f>
        <v>8638.536288553963</v>
      </c>
      <c r="D18" s="55">
        <v>992</v>
      </c>
      <c r="F18" t="s">
        <v>164</v>
      </c>
    </row>
    <row r="19" spans="2:4" ht="12.75">
      <c r="B19" s="38"/>
      <c r="C19" s="38"/>
      <c r="D19" s="38"/>
    </row>
    <row r="20" spans="1:4" s="7" customFormat="1" ht="12.75">
      <c r="A20" s="46"/>
      <c r="D20" s="47"/>
    </row>
    <row r="21" spans="1:4" ht="12.75">
      <c r="A21" s="36" t="s">
        <v>80</v>
      </c>
      <c r="D21" s="38"/>
    </row>
    <row r="22" spans="1:4" ht="12.75">
      <c r="A22" s="40" t="s">
        <v>81</v>
      </c>
      <c r="D22" s="38"/>
    </row>
    <row r="23" spans="1:3" ht="12.75">
      <c r="A23" s="41" t="s">
        <v>82</v>
      </c>
      <c r="B23" s="38">
        <f>Aflæsninger!D17</f>
        <v>25378</v>
      </c>
      <c r="C23" s="42">
        <f>B23/(B$23+B$24)</f>
        <v>0.788430470982975</v>
      </c>
    </row>
    <row r="24" spans="1:3" ht="12.75">
      <c r="A24" s="41" t="s">
        <v>83</v>
      </c>
      <c r="B24" s="38">
        <f>Aflæsninger!D18</f>
        <v>6810</v>
      </c>
      <c r="C24" s="42">
        <f>B24/(B$23+B$24)</f>
        <v>0.21156952901702497</v>
      </c>
    </row>
    <row r="25" spans="1:2" s="44" customFormat="1" ht="12.75">
      <c r="A25" s="43" t="s">
        <v>84</v>
      </c>
      <c r="B25" s="38">
        <f>Aflæsninger!D19</f>
        <v>70</v>
      </c>
    </row>
    <row r="26" spans="1:2" ht="12.75">
      <c r="A26" s="41"/>
      <c r="B26" s="38"/>
    </row>
    <row r="27" spans="1:2" ht="12.75">
      <c r="A27" s="40" t="s">
        <v>85</v>
      </c>
      <c r="B27" s="38"/>
    </row>
    <row r="28" spans="1:3" ht="12.75">
      <c r="A28" s="41" t="s">
        <v>82</v>
      </c>
      <c r="B28" s="38">
        <f>Aflæsninger!D22</f>
        <v>18556</v>
      </c>
      <c r="C28" s="42">
        <f>B28/(B$28+B$29)</f>
        <v>0.852561451872272</v>
      </c>
    </row>
    <row r="29" spans="1:3" ht="12.75">
      <c r="A29" s="41" t="s">
        <v>83</v>
      </c>
      <c r="B29" s="38">
        <f>Aflæsninger!D23</f>
        <v>3209</v>
      </c>
      <c r="C29" s="42">
        <f>B29/(B$28+B$29)</f>
        <v>0.147438548127728</v>
      </c>
    </row>
    <row r="30" spans="1:2" s="44" customFormat="1" ht="12.75">
      <c r="A30" s="43" t="s">
        <v>84</v>
      </c>
      <c r="B30" s="38">
        <f>Aflæsninger!D24</f>
        <v>34.30000000000001</v>
      </c>
    </row>
    <row r="31" ht="12.75">
      <c r="A31" s="41"/>
    </row>
    <row r="32" s="1" customFormat="1" ht="12.75">
      <c r="A32" s="40" t="s">
        <v>86</v>
      </c>
    </row>
    <row r="33" spans="1:3" ht="12.75">
      <c r="A33" s="45" t="s">
        <v>87</v>
      </c>
      <c r="B33" s="38">
        <f>B23+B28</f>
        <v>43934</v>
      </c>
      <c r="C33" s="42">
        <f>B33/B$35</f>
        <v>0.8143013363483032</v>
      </c>
    </row>
    <row r="34" spans="1:3" ht="12.75">
      <c r="A34" s="45" t="s">
        <v>88</v>
      </c>
      <c r="B34" s="38">
        <f>B24+B29</f>
        <v>10019</v>
      </c>
      <c r="C34" s="42">
        <f>B34/B$35</f>
        <v>0.18569866365169685</v>
      </c>
    </row>
    <row r="35" spans="1:2" ht="12.75">
      <c r="A35" s="45" t="s">
        <v>89</v>
      </c>
      <c r="B35" s="38">
        <f>SUM(B33:B34)</f>
        <v>53953</v>
      </c>
    </row>
    <row r="37" ht="12.75">
      <c r="A37" s="40" t="s">
        <v>90</v>
      </c>
    </row>
    <row r="38" spans="1:4" ht="12.75">
      <c r="A38" s="41" t="s">
        <v>91</v>
      </c>
      <c r="B38" s="38">
        <f>B28+B29</f>
        <v>21765</v>
      </c>
      <c r="C38" s="42">
        <f>B38/(B$38+B$39)</f>
        <v>0.4034066687672604</v>
      </c>
      <c r="D38" s="38">
        <f>C38*D$12</f>
        <v>2451.098919429874</v>
      </c>
    </row>
    <row r="39" spans="1:4" ht="12.75">
      <c r="A39" s="41" t="s">
        <v>92</v>
      </c>
      <c r="B39" s="38">
        <f>B23+B24</f>
        <v>32188</v>
      </c>
      <c r="C39" s="42">
        <f>B39/(B$38+B$39)</f>
        <v>0.5965933312327396</v>
      </c>
      <c r="D39" s="38">
        <f>C39*D$12</f>
        <v>3624.901080570126</v>
      </c>
    </row>
    <row r="40" ht="12.75">
      <c r="A40" s="40"/>
    </row>
    <row r="41" ht="12.75">
      <c r="A41" s="40"/>
    </row>
    <row r="42" ht="12.75">
      <c r="A42" s="40"/>
    </row>
    <row r="43" ht="12.75">
      <c r="A43" s="40"/>
    </row>
    <row r="44" ht="12.75">
      <c r="A44" s="40"/>
    </row>
    <row r="45" ht="12.75">
      <c r="A45" s="40"/>
    </row>
    <row r="46" ht="12.75">
      <c r="A46" s="40"/>
    </row>
  </sheetData>
  <sheetProtection password="F3CB" sheet="1" objects="1" scenarios="1"/>
  <protectedRanges>
    <protectedRange sqref="B4:C13" name="Omr?de1"/>
  </protectedRanges>
  <mergeCells count="1">
    <mergeCell ref="B1:C1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X29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20.421875" style="36" customWidth="1"/>
    <col min="2" max="2" width="9.00390625" style="0" bestFit="1" customWidth="1"/>
    <col min="3" max="3" width="8.00390625" style="0" customWidth="1"/>
    <col min="4" max="4" width="9.28125" style="0" customWidth="1"/>
    <col min="5" max="16" width="8.00390625" style="0" customWidth="1"/>
  </cols>
  <sheetData>
    <row r="1" s="33" customFormat="1" ht="12.75"/>
    <row r="2" spans="1:15" s="35" customFormat="1" ht="12.75">
      <c r="A2" s="34"/>
      <c r="B2" s="35" t="s">
        <v>53</v>
      </c>
      <c r="C2" s="34" t="s">
        <v>55</v>
      </c>
      <c r="D2" s="35" t="s">
        <v>165</v>
      </c>
      <c r="K2" s="34"/>
      <c r="O2" s="68"/>
    </row>
    <row r="3" ht="12.75">
      <c r="A3" s="36" t="s">
        <v>71</v>
      </c>
    </row>
    <row r="4" spans="1:50" ht="12.75">
      <c r="A4" s="37" t="s">
        <v>72</v>
      </c>
      <c r="B4" s="55">
        <v>13585</v>
      </c>
      <c r="C4" s="55">
        <v>17826</v>
      </c>
      <c r="D4" s="38">
        <f>C4-B4</f>
        <v>4241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</row>
    <row r="5" spans="1:50" ht="12.75">
      <c r="A5" s="37" t="s">
        <v>73</v>
      </c>
      <c r="B5" s="55">
        <v>12657</v>
      </c>
      <c r="C5" s="55">
        <v>16626</v>
      </c>
      <c r="D5" s="38">
        <f aca="true" t="shared" si="0" ref="D5:D13">C5-B5</f>
        <v>3969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</row>
    <row r="6" spans="1:50" ht="12.75">
      <c r="A6" s="37" t="s">
        <v>74</v>
      </c>
      <c r="B6" s="55">
        <v>9891</v>
      </c>
      <c r="C6" s="55">
        <v>13143</v>
      </c>
      <c r="D6" s="38">
        <f t="shared" si="0"/>
        <v>3252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</row>
    <row r="7" spans="1:50" ht="12.75">
      <c r="A7" s="37" t="s">
        <v>75</v>
      </c>
      <c r="B7" s="55">
        <v>12267</v>
      </c>
      <c r="C7" s="55">
        <v>16067</v>
      </c>
      <c r="D7" s="38">
        <f t="shared" si="0"/>
        <v>3800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</row>
    <row r="8" spans="1:50" ht="12.75">
      <c r="A8" s="37" t="s">
        <v>76</v>
      </c>
      <c r="B8" s="55">
        <v>10481</v>
      </c>
      <c r="C8" s="55">
        <v>15285</v>
      </c>
      <c r="D8" s="38">
        <f t="shared" si="0"/>
        <v>4804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</row>
    <row r="9" spans="1:50" ht="12.75">
      <c r="A9" s="37" t="s">
        <v>77</v>
      </c>
      <c r="B9" s="55">
        <v>66031</v>
      </c>
      <c r="C9" s="55">
        <v>70173</v>
      </c>
      <c r="D9" s="38">
        <f t="shared" si="0"/>
        <v>4142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</row>
    <row r="10" spans="1:50" ht="12.75">
      <c r="A10" s="37" t="s">
        <v>78</v>
      </c>
      <c r="B10" s="55">
        <v>82446</v>
      </c>
      <c r="C10" s="55">
        <v>86982</v>
      </c>
      <c r="D10" s="38">
        <f t="shared" si="0"/>
        <v>4536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</row>
    <row r="11" spans="1:50" ht="12.75">
      <c r="A11" s="37" t="s">
        <v>79</v>
      </c>
      <c r="B11" s="55">
        <v>2513</v>
      </c>
      <c r="C11" s="55">
        <v>6480</v>
      </c>
      <c r="D11" s="38">
        <f t="shared" si="0"/>
        <v>3967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</row>
    <row r="12" spans="1:50" ht="12.75">
      <c r="A12" s="37" t="s">
        <v>80</v>
      </c>
      <c r="B12" s="55">
        <v>23920</v>
      </c>
      <c r="C12" s="55">
        <v>29996</v>
      </c>
      <c r="D12" s="38">
        <f t="shared" si="0"/>
        <v>6076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</row>
    <row r="13" spans="1:50" ht="12.75">
      <c r="A13" s="37" t="s">
        <v>166</v>
      </c>
      <c r="B13" s="55">
        <v>67287</v>
      </c>
      <c r="C13" s="55">
        <v>72850</v>
      </c>
      <c r="D13" s="38">
        <f t="shared" si="0"/>
        <v>5563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</row>
    <row r="14" spans="2:15" ht="12.75">
      <c r="B14" s="70"/>
      <c r="C14" s="55"/>
      <c r="O14" s="38"/>
    </row>
    <row r="15" spans="1:15" ht="12.75">
      <c r="A15" s="36" t="s">
        <v>80</v>
      </c>
      <c r="B15" s="70"/>
      <c r="C15" s="55"/>
      <c r="O15" s="38"/>
    </row>
    <row r="16" spans="1:15" ht="12.75">
      <c r="A16" s="40" t="s">
        <v>81</v>
      </c>
      <c r="B16" s="70"/>
      <c r="C16" s="55"/>
      <c r="K16" s="38"/>
      <c r="L16" s="38"/>
      <c r="M16" s="38"/>
      <c r="O16" s="38"/>
    </row>
    <row r="17" spans="1:15" ht="12.75">
      <c r="A17" s="41" t="s">
        <v>82</v>
      </c>
      <c r="B17" s="55">
        <v>126652</v>
      </c>
      <c r="C17" s="55">
        <v>152030</v>
      </c>
      <c r="D17" s="38">
        <f>C17-B17</f>
        <v>25378</v>
      </c>
      <c r="E17" s="38"/>
      <c r="F17" s="38"/>
      <c r="G17" s="38"/>
      <c r="H17" s="38"/>
      <c r="I17" s="38"/>
      <c r="J17" s="38"/>
      <c r="K17" s="38"/>
      <c r="L17" s="38"/>
      <c r="M17" s="38"/>
      <c r="N17" s="13"/>
      <c r="O17" s="38"/>
    </row>
    <row r="18" spans="1:15" ht="12.75">
      <c r="A18" s="41" t="s">
        <v>83</v>
      </c>
      <c r="B18" s="55">
        <v>26353</v>
      </c>
      <c r="C18" s="55">
        <v>33163</v>
      </c>
      <c r="D18" s="38">
        <f>C18-B18</f>
        <v>6810</v>
      </c>
      <c r="E18" s="38"/>
      <c r="F18" s="38"/>
      <c r="G18" s="38"/>
      <c r="H18" s="38"/>
      <c r="I18" s="38"/>
      <c r="J18" s="38"/>
      <c r="K18" s="38"/>
      <c r="L18" s="38"/>
      <c r="M18" s="38"/>
      <c r="N18" s="13"/>
      <c r="O18" s="38"/>
    </row>
    <row r="19" spans="1:14" s="44" customFormat="1" ht="12.75">
      <c r="A19" s="43" t="s">
        <v>84</v>
      </c>
      <c r="B19" s="71">
        <v>424</v>
      </c>
      <c r="C19" s="71">
        <v>494</v>
      </c>
      <c r="D19" s="38">
        <f>C19-B19</f>
        <v>70</v>
      </c>
      <c r="N19" s="69"/>
    </row>
    <row r="20" spans="1:15" ht="12.75">
      <c r="A20" s="41"/>
      <c r="B20" s="70"/>
      <c r="C20" s="55"/>
      <c r="F20" s="38"/>
      <c r="H20" s="38"/>
      <c r="I20" s="38"/>
      <c r="J20" s="38"/>
      <c r="K20" s="38"/>
      <c r="L20" s="38"/>
      <c r="M20" s="38"/>
      <c r="O20" s="38"/>
    </row>
    <row r="21" spans="1:15" ht="12.75">
      <c r="A21" s="40" t="s">
        <v>85</v>
      </c>
      <c r="B21" s="70"/>
      <c r="C21" s="55"/>
      <c r="F21" s="38"/>
      <c r="H21" s="38"/>
      <c r="I21" s="38"/>
      <c r="J21" s="38"/>
      <c r="K21" s="38"/>
      <c r="L21" s="38"/>
      <c r="M21" s="38"/>
      <c r="O21" s="38"/>
    </row>
    <row r="22" spans="1:15" ht="12.75">
      <c r="A22" s="41" t="s">
        <v>82</v>
      </c>
      <c r="B22" s="55">
        <v>133145</v>
      </c>
      <c r="C22" s="55">
        <v>151701</v>
      </c>
      <c r="D22" s="38">
        <f>C22-B22</f>
        <v>18556</v>
      </c>
      <c r="E22" s="38"/>
      <c r="F22" s="38"/>
      <c r="G22" s="38"/>
      <c r="H22" s="38"/>
      <c r="I22" s="38"/>
      <c r="J22" s="38"/>
      <c r="K22" s="38"/>
      <c r="L22" s="38"/>
      <c r="M22" s="38"/>
      <c r="N22" s="13"/>
      <c r="O22" s="38"/>
    </row>
    <row r="23" spans="1:15" ht="12.75">
      <c r="A23" s="41" t="s">
        <v>83</v>
      </c>
      <c r="B23" s="55">
        <v>27183</v>
      </c>
      <c r="C23" s="55">
        <v>30392</v>
      </c>
      <c r="D23" s="38">
        <f>C23-B23</f>
        <v>3209</v>
      </c>
      <c r="E23" s="38"/>
      <c r="F23" s="38"/>
      <c r="G23" s="38"/>
      <c r="H23" s="38"/>
      <c r="I23" s="38"/>
      <c r="J23" s="38"/>
      <c r="K23" s="38"/>
      <c r="L23" s="38"/>
      <c r="M23" s="38"/>
      <c r="N23" s="13"/>
      <c r="O23" s="38"/>
    </row>
    <row r="24" spans="1:14" s="44" customFormat="1" ht="12.75">
      <c r="A24" s="43" t="s">
        <v>84</v>
      </c>
      <c r="B24" s="71">
        <v>262.9</v>
      </c>
      <c r="C24" s="71">
        <v>297.2</v>
      </c>
      <c r="D24" s="38">
        <f>C24-B24</f>
        <v>34.30000000000001</v>
      </c>
      <c r="N24" s="69"/>
    </row>
    <row r="25" spans="1:13" ht="12.75">
      <c r="A25" s="41"/>
      <c r="C25" s="38"/>
      <c r="G25" s="38"/>
      <c r="H25" s="38"/>
      <c r="I25" s="38"/>
      <c r="J25" s="38"/>
      <c r="K25" s="38"/>
      <c r="L25" s="38"/>
      <c r="M25" s="38"/>
    </row>
    <row r="26" spans="1:3" s="1" customFormat="1" ht="12.75">
      <c r="A26" s="40" t="s">
        <v>167</v>
      </c>
      <c r="C26" s="38"/>
    </row>
    <row r="27" spans="1:6" ht="12.75">
      <c r="A27" s="45" t="s">
        <v>87</v>
      </c>
      <c r="B27" s="38"/>
      <c r="C27" s="38"/>
      <c r="D27" s="38">
        <f>D17+D22</f>
        <v>43934</v>
      </c>
      <c r="E27" s="42">
        <f>D27/D29</f>
        <v>0.8143013363483032</v>
      </c>
      <c r="F27" s="42"/>
    </row>
    <row r="28" spans="1:6" ht="12.75">
      <c r="A28" s="45" t="s">
        <v>88</v>
      </c>
      <c r="B28" s="38"/>
      <c r="C28" s="42"/>
      <c r="D28" s="38">
        <f>D18+D23</f>
        <v>10019</v>
      </c>
      <c r="E28" s="42">
        <f>D28/D29</f>
        <v>0.18569866365169685</v>
      </c>
      <c r="F28" s="42"/>
    </row>
    <row r="29" spans="1:5" ht="12.75">
      <c r="A29" s="45" t="s">
        <v>89</v>
      </c>
      <c r="B29" s="38"/>
      <c r="C29" s="38"/>
      <c r="D29" s="38">
        <f>SUM(D27:D28)</f>
        <v>53953</v>
      </c>
      <c r="E29" s="38"/>
    </row>
  </sheetData>
  <sheetProtection password="F3CB" sheet="1" objects="1" scenarios="1"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2.28125" style="0" bestFit="1" customWidth="1"/>
    <col min="2" max="2" width="3.8515625" style="0" bestFit="1" customWidth="1"/>
    <col min="3" max="3" width="22.421875" style="0" bestFit="1" customWidth="1"/>
    <col min="4" max="4" width="7.421875" style="0" bestFit="1" customWidth="1"/>
    <col min="5" max="5" width="11.8515625" style="0" bestFit="1" customWidth="1"/>
    <col min="6" max="6" width="14.421875" style="0" bestFit="1" customWidth="1"/>
    <col min="7" max="7" width="11.57421875" style="0" bestFit="1" customWidth="1"/>
    <col min="8" max="8" width="15.421875" style="0" bestFit="1" customWidth="1"/>
  </cols>
  <sheetData>
    <row r="1" spans="1:8" ht="15" customHeight="1">
      <c r="A1" s="80" t="s">
        <v>100</v>
      </c>
      <c r="B1" s="80"/>
      <c r="C1" s="80"/>
      <c r="D1" s="80"/>
      <c r="E1" s="80"/>
      <c r="F1" s="80"/>
      <c r="G1" s="80"/>
      <c r="H1" s="80"/>
    </row>
    <row r="2" spans="1:8" ht="15" customHeight="1">
      <c r="A2" s="80" t="s">
        <v>101</v>
      </c>
      <c r="B2" s="80"/>
      <c r="C2" s="80"/>
      <c r="D2" s="80"/>
      <c r="E2" s="80"/>
      <c r="F2" s="80"/>
      <c r="G2" s="80"/>
      <c r="H2" s="80"/>
    </row>
    <row r="3" spans="1:8" ht="15" customHeight="1">
      <c r="A3" s="80" t="s">
        <v>102</v>
      </c>
      <c r="B3" s="80"/>
      <c r="C3" s="80"/>
      <c r="D3" s="80"/>
      <c r="E3" s="80"/>
      <c r="F3" s="80"/>
      <c r="G3" s="80"/>
      <c r="H3" s="80"/>
    </row>
    <row r="4" spans="1:8" ht="15">
      <c r="A4" s="81"/>
      <c r="B4" s="81"/>
      <c r="C4" s="81"/>
      <c r="D4" s="81"/>
      <c r="E4" s="81"/>
      <c r="F4" s="81"/>
      <c r="G4" s="81"/>
      <c r="H4" s="81"/>
    </row>
    <row r="5" spans="1:8" ht="15">
      <c r="A5" s="58" t="s">
        <v>103</v>
      </c>
      <c r="B5" s="58" t="s">
        <v>104</v>
      </c>
      <c r="C5" s="58" t="s">
        <v>105</v>
      </c>
      <c r="D5" s="60" t="s">
        <v>26</v>
      </c>
      <c r="E5" s="60" t="s">
        <v>106</v>
      </c>
      <c r="F5" s="60" t="s">
        <v>107</v>
      </c>
      <c r="G5" s="60" t="s">
        <v>108</v>
      </c>
      <c r="H5" s="60" t="s">
        <v>109</v>
      </c>
    </row>
    <row r="6" spans="1:8" ht="15">
      <c r="A6" s="59" t="s">
        <v>33</v>
      </c>
      <c r="B6" s="61">
        <v>30</v>
      </c>
      <c r="C6" s="59" t="s">
        <v>110</v>
      </c>
      <c r="D6" s="62">
        <v>4</v>
      </c>
      <c r="E6" s="62">
        <v>9580</v>
      </c>
      <c r="F6" s="62">
        <v>0</v>
      </c>
      <c r="G6" s="62">
        <v>9580</v>
      </c>
      <c r="H6" s="63" t="s">
        <v>111</v>
      </c>
    </row>
    <row r="7" spans="1:8" ht="15">
      <c r="A7" s="59" t="s">
        <v>33</v>
      </c>
      <c r="B7" s="61">
        <v>31</v>
      </c>
      <c r="C7" s="59" t="s">
        <v>112</v>
      </c>
      <c r="D7" s="62">
        <v>4</v>
      </c>
      <c r="E7" s="62">
        <v>7064</v>
      </c>
      <c r="F7" s="62">
        <v>0</v>
      </c>
      <c r="G7" s="62">
        <v>7064</v>
      </c>
      <c r="H7" s="63" t="s">
        <v>111</v>
      </c>
    </row>
    <row r="8" spans="1:8" ht="15">
      <c r="A8" s="59" t="s">
        <v>33</v>
      </c>
      <c r="B8" s="61">
        <v>32</v>
      </c>
      <c r="C8" s="59" t="s">
        <v>113</v>
      </c>
      <c r="D8" s="62">
        <v>4</v>
      </c>
      <c r="E8" s="62">
        <v>13204</v>
      </c>
      <c r="F8" s="62">
        <v>0</v>
      </c>
      <c r="G8" s="62">
        <v>13204</v>
      </c>
      <c r="H8" s="63" t="s">
        <v>111</v>
      </c>
    </row>
    <row r="9" spans="1:8" ht="15">
      <c r="A9" s="59" t="s">
        <v>33</v>
      </c>
      <c r="B9" s="61">
        <v>33</v>
      </c>
      <c r="C9" s="59" t="s">
        <v>114</v>
      </c>
      <c r="D9" s="62">
        <v>4</v>
      </c>
      <c r="E9" s="62">
        <v>7932</v>
      </c>
      <c r="F9" s="62">
        <v>0</v>
      </c>
      <c r="G9" s="62">
        <v>7932</v>
      </c>
      <c r="H9" s="63" t="s">
        <v>111</v>
      </c>
    </row>
    <row r="10" spans="1:8" ht="15">
      <c r="A10" s="59" t="s">
        <v>33</v>
      </c>
      <c r="B10" s="61">
        <v>34</v>
      </c>
      <c r="C10" s="59" t="s">
        <v>115</v>
      </c>
      <c r="D10" s="62">
        <v>4</v>
      </c>
      <c r="E10" s="62">
        <v>7504</v>
      </c>
      <c r="F10" s="62">
        <v>0</v>
      </c>
      <c r="G10" s="62">
        <v>7504</v>
      </c>
      <c r="H10" s="63" t="s">
        <v>111</v>
      </c>
    </row>
    <row r="11" spans="1:8" ht="15">
      <c r="A11" s="59" t="s">
        <v>33</v>
      </c>
      <c r="B11" s="61">
        <v>35</v>
      </c>
      <c r="C11" s="59" t="s">
        <v>116</v>
      </c>
      <c r="D11" s="62">
        <v>4</v>
      </c>
      <c r="E11" s="62">
        <v>10668</v>
      </c>
      <c r="F11" s="62">
        <v>0</v>
      </c>
      <c r="G11" s="62">
        <v>10668</v>
      </c>
      <c r="H11" s="63" t="s">
        <v>111</v>
      </c>
    </row>
    <row r="12" spans="1:8" ht="15">
      <c r="A12" s="59" t="s">
        <v>33</v>
      </c>
      <c r="B12" s="61">
        <v>36</v>
      </c>
      <c r="C12" s="59" t="s">
        <v>117</v>
      </c>
      <c r="D12" s="62">
        <v>4</v>
      </c>
      <c r="E12" s="62">
        <v>8874</v>
      </c>
      <c r="F12" s="62">
        <v>0</v>
      </c>
      <c r="G12" s="62">
        <v>8874</v>
      </c>
      <c r="H12" s="63" t="s">
        <v>111</v>
      </c>
    </row>
    <row r="13" spans="1:8" ht="15">
      <c r="A13" s="59" t="s">
        <v>33</v>
      </c>
      <c r="B13" s="61">
        <v>37</v>
      </c>
      <c r="C13" s="59" t="s">
        <v>118</v>
      </c>
      <c r="D13" s="62">
        <v>4</v>
      </c>
      <c r="E13" s="62">
        <v>11606</v>
      </c>
      <c r="F13" s="62">
        <v>0</v>
      </c>
      <c r="G13" s="62">
        <v>11606</v>
      </c>
      <c r="H13" s="63" t="s">
        <v>111</v>
      </c>
    </row>
    <row r="14" spans="1:8" ht="15">
      <c r="A14" s="59" t="s">
        <v>33</v>
      </c>
      <c r="B14" s="61">
        <v>38</v>
      </c>
      <c r="C14" s="59" t="s">
        <v>119</v>
      </c>
      <c r="D14" s="62">
        <v>4</v>
      </c>
      <c r="E14" s="62">
        <v>8118</v>
      </c>
      <c r="F14" s="62">
        <v>0</v>
      </c>
      <c r="G14" s="62">
        <v>8118</v>
      </c>
      <c r="H14" s="63" t="s">
        <v>111</v>
      </c>
    </row>
    <row r="15" spans="1:8" ht="15">
      <c r="A15" s="59" t="s">
        <v>33</v>
      </c>
      <c r="B15" s="61">
        <v>39</v>
      </c>
      <c r="C15" s="59" t="s">
        <v>120</v>
      </c>
      <c r="D15" s="62">
        <v>4</v>
      </c>
      <c r="E15" s="62">
        <v>7252</v>
      </c>
      <c r="F15" s="62">
        <v>0</v>
      </c>
      <c r="G15" s="62">
        <v>7252</v>
      </c>
      <c r="H15" s="63" t="s">
        <v>111</v>
      </c>
    </row>
    <row r="16" spans="1:8" ht="15">
      <c r="A16" s="59" t="s">
        <v>33</v>
      </c>
      <c r="B16" s="61">
        <v>40</v>
      </c>
      <c r="C16" s="59" t="s">
        <v>121</v>
      </c>
      <c r="D16" s="62">
        <v>4</v>
      </c>
      <c r="E16" s="62">
        <v>7902</v>
      </c>
      <c r="F16" s="62">
        <v>0</v>
      </c>
      <c r="G16" s="62">
        <v>7902</v>
      </c>
      <c r="H16" s="63" t="s">
        <v>111</v>
      </c>
    </row>
    <row r="17" spans="1:8" ht="15">
      <c r="A17" s="59" t="s">
        <v>33</v>
      </c>
      <c r="B17" s="61">
        <v>41</v>
      </c>
      <c r="C17" s="59" t="s">
        <v>122</v>
      </c>
      <c r="D17" s="62">
        <v>4</v>
      </c>
      <c r="E17" s="62">
        <v>11480</v>
      </c>
      <c r="F17" s="62">
        <v>0</v>
      </c>
      <c r="G17" s="62">
        <v>11480</v>
      </c>
      <c r="H17" s="63" t="s">
        <v>111</v>
      </c>
    </row>
    <row r="18" spans="1:8" ht="15">
      <c r="A18" s="59" t="s">
        <v>33</v>
      </c>
      <c r="B18" s="61">
        <v>42</v>
      </c>
      <c r="C18" s="59" t="s">
        <v>123</v>
      </c>
      <c r="D18" s="62">
        <v>4</v>
      </c>
      <c r="E18" s="62">
        <v>5900</v>
      </c>
      <c r="F18" s="62">
        <v>0</v>
      </c>
      <c r="G18" s="62">
        <v>5900</v>
      </c>
      <c r="H18" s="63" t="s">
        <v>111</v>
      </c>
    </row>
    <row r="19" spans="1:8" ht="15">
      <c r="A19" s="59" t="s">
        <v>33</v>
      </c>
      <c r="B19" s="61">
        <v>43</v>
      </c>
      <c r="C19" s="59" t="s">
        <v>124</v>
      </c>
      <c r="D19" s="62">
        <v>4</v>
      </c>
      <c r="E19" s="62">
        <v>11684</v>
      </c>
      <c r="F19" s="62">
        <v>0</v>
      </c>
      <c r="G19" s="62">
        <v>11684</v>
      </c>
      <c r="H19" s="63" t="s">
        <v>111</v>
      </c>
    </row>
    <row r="20" spans="1:8" ht="15">
      <c r="A20" s="59" t="s">
        <v>33</v>
      </c>
      <c r="B20" s="61">
        <v>44</v>
      </c>
      <c r="C20" s="59" t="s">
        <v>125</v>
      </c>
      <c r="D20" s="62">
        <v>4</v>
      </c>
      <c r="E20" s="62">
        <v>8988</v>
      </c>
      <c r="F20" s="62">
        <v>0</v>
      </c>
      <c r="G20" s="62">
        <v>8988</v>
      </c>
      <c r="H20" s="63" t="s">
        <v>111</v>
      </c>
    </row>
    <row r="21" spans="1:8" ht="15">
      <c r="A21" s="59" t="s">
        <v>33</v>
      </c>
      <c r="B21" s="61">
        <v>45</v>
      </c>
      <c r="C21" s="59" t="s">
        <v>126</v>
      </c>
      <c r="D21" s="62">
        <v>4</v>
      </c>
      <c r="E21" s="62">
        <v>8492</v>
      </c>
      <c r="F21" s="62">
        <v>0</v>
      </c>
      <c r="G21" s="62">
        <v>8492</v>
      </c>
      <c r="H21" s="63" t="s">
        <v>111</v>
      </c>
    </row>
    <row r="22" spans="1:8" ht="15">
      <c r="A22" s="59" t="s">
        <v>33</v>
      </c>
      <c r="B22" s="61">
        <v>46</v>
      </c>
      <c r="C22" s="59" t="s">
        <v>127</v>
      </c>
      <c r="D22" s="62">
        <v>4</v>
      </c>
      <c r="E22" s="62">
        <v>8568</v>
      </c>
      <c r="F22" s="62">
        <v>0</v>
      </c>
      <c r="G22" s="62">
        <v>8568</v>
      </c>
      <c r="H22" s="63" t="s">
        <v>111</v>
      </c>
    </row>
    <row r="23" spans="1:8" ht="15">
      <c r="A23" s="59" t="s">
        <v>33</v>
      </c>
      <c r="B23" s="61">
        <v>47</v>
      </c>
      <c r="C23" s="59" t="s">
        <v>128</v>
      </c>
      <c r="D23" s="62">
        <v>4</v>
      </c>
      <c r="E23" s="62">
        <v>7550</v>
      </c>
      <c r="F23" s="62">
        <v>0</v>
      </c>
      <c r="G23" s="62">
        <v>7550</v>
      </c>
      <c r="H23" s="63" t="s">
        <v>111</v>
      </c>
    </row>
    <row r="24" spans="1:8" ht="15">
      <c r="A24" s="59" t="s">
        <v>33</v>
      </c>
      <c r="B24" s="61">
        <v>48</v>
      </c>
      <c r="C24" s="59" t="s">
        <v>129</v>
      </c>
      <c r="D24" s="62">
        <v>4</v>
      </c>
      <c r="E24" s="62">
        <v>7222</v>
      </c>
      <c r="F24" s="62">
        <v>0</v>
      </c>
      <c r="G24" s="62">
        <v>7222</v>
      </c>
      <c r="H24" s="63" t="s">
        <v>111</v>
      </c>
    </row>
    <row r="25" spans="1:8" ht="15">
      <c r="A25" s="59" t="s">
        <v>33</v>
      </c>
      <c r="B25" s="61">
        <v>49</v>
      </c>
      <c r="C25" s="59" t="s">
        <v>130</v>
      </c>
      <c r="D25" s="62">
        <v>4</v>
      </c>
      <c r="E25" s="62">
        <v>10090</v>
      </c>
      <c r="F25" s="62">
        <v>0</v>
      </c>
      <c r="G25" s="62">
        <v>10090</v>
      </c>
      <c r="H25" s="63" t="s">
        <v>111</v>
      </c>
    </row>
    <row r="26" spans="1:8" ht="15">
      <c r="A26" s="59" t="s">
        <v>33</v>
      </c>
      <c r="B26" s="61">
        <v>50</v>
      </c>
      <c r="C26" s="59" t="s">
        <v>131</v>
      </c>
      <c r="D26" s="62">
        <v>4</v>
      </c>
      <c r="E26" s="62">
        <v>8996</v>
      </c>
      <c r="F26" s="62">
        <v>0</v>
      </c>
      <c r="G26" s="62">
        <v>8996</v>
      </c>
      <c r="H26" s="63" t="s">
        <v>111</v>
      </c>
    </row>
    <row r="27" spans="1:8" ht="15">
      <c r="A27" s="59" t="s">
        <v>33</v>
      </c>
      <c r="B27" s="61">
        <v>51</v>
      </c>
      <c r="C27" s="59" t="s">
        <v>132</v>
      </c>
      <c r="D27" s="62">
        <v>4</v>
      </c>
      <c r="E27" s="62">
        <v>8190</v>
      </c>
      <c r="F27" s="62">
        <v>0</v>
      </c>
      <c r="G27" s="62">
        <v>8190</v>
      </c>
      <c r="H27" s="63" t="s">
        <v>111</v>
      </c>
    </row>
    <row r="28" spans="1:8" ht="15">
      <c r="A28" s="59" t="s">
        <v>33</v>
      </c>
      <c r="B28" s="61">
        <v>52</v>
      </c>
      <c r="C28" s="59" t="s">
        <v>133</v>
      </c>
      <c r="D28" s="62">
        <v>4</v>
      </c>
      <c r="E28" s="62">
        <v>9680</v>
      </c>
      <c r="F28" s="62">
        <v>0</v>
      </c>
      <c r="G28" s="62">
        <v>9680</v>
      </c>
      <c r="H28" s="63" t="s">
        <v>111</v>
      </c>
    </row>
    <row r="29" spans="1:8" ht="15">
      <c r="A29" s="59" t="s">
        <v>33</v>
      </c>
      <c r="B29" s="61">
        <v>53</v>
      </c>
      <c r="C29" s="59" t="s">
        <v>134</v>
      </c>
      <c r="D29" s="62">
        <v>4</v>
      </c>
      <c r="E29" s="62">
        <v>9112</v>
      </c>
      <c r="F29" s="62">
        <v>0</v>
      </c>
      <c r="G29" s="62">
        <v>9112</v>
      </c>
      <c r="H29" s="63" t="s">
        <v>111</v>
      </c>
    </row>
    <row r="30" spans="1:8" ht="15">
      <c r="A30" s="59" t="s">
        <v>33</v>
      </c>
      <c r="B30" s="61">
        <v>54</v>
      </c>
      <c r="C30" s="59" t="s">
        <v>135</v>
      </c>
      <c r="D30" s="62">
        <v>4</v>
      </c>
      <c r="E30" s="62">
        <v>10946</v>
      </c>
      <c r="F30" s="62">
        <v>0</v>
      </c>
      <c r="G30" s="62">
        <v>10946</v>
      </c>
      <c r="H30" s="63" t="s">
        <v>111</v>
      </c>
    </row>
    <row r="31" spans="1:8" ht="15">
      <c r="A31" s="59" t="s">
        <v>33</v>
      </c>
      <c r="B31" s="61">
        <v>55</v>
      </c>
      <c r="C31" s="59" t="s">
        <v>136</v>
      </c>
      <c r="D31" s="62">
        <v>4</v>
      </c>
      <c r="E31" s="62">
        <v>9664</v>
      </c>
      <c r="F31" s="62">
        <v>0</v>
      </c>
      <c r="G31" s="62">
        <v>9664</v>
      </c>
      <c r="H31" s="63" t="s">
        <v>111</v>
      </c>
    </row>
    <row r="32" spans="1:8" ht="15">
      <c r="A32" s="59" t="s">
        <v>33</v>
      </c>
      <c r="B32" s="61">
        <v>56</v>
      </c>
      <c r="C32" s="59" t="s">
        <v>137</v>
      </c>
      <c r="D32" s="62">
        <v>4</v>
      </c>
      <c r="E32" s="62">
        <v>10590</v>
      </c>
      <c r="F32" s="62">
        <v>0</v>
      </c>
      <c r="G32" s="62">
        <v>10590</v>
      </c>
      <c r="H32" s="63" t="s">
        <v>111</v>
      </c>
    </row>
    <row r="33" spans="1:8" ht="15">
      <c r="A33" s="58" t="s">
        <v>138</v>
      </c>
      <c r="B33" s="64"/>
      <c r="C33" s="64"/>
      <c r="D33" s="65">
        <v>108</v>
      </c>
      <c r="E33" s="65">
        <v>246856</v>
      </c>
      <c r="F33" s="65">
        <v>0</v>
      </c>
      <c r="G33" s="65">
        <v>246856</v>
      </c>
      <c r="H33" s="60" t="s">
        <v>111</v>
      </c>
    </row>
    <row r="34" spans="1:8" ht="15">
      <c r="A34" s="58" t="s">
        <v>139</v>
      </c>
      <c r="B34" s="64"/>
      <c r="C34" s="64"/>
      <c r="D34" s="65">
        <v>108</v>
      </c>
      <c r="E34" s="65">
        <v>246856</v>
      </c>
      <c r="F34" s="65">
        <v>0</v>
      </c>
      <c r="G34" s="65">
        <v>246856</v>
      </c>
      <c r="H34" s="60" t="s">
        <v>111</v>
      </c>
    </row>
  </sheetData>
  <sheetProtection/>
  <protectedRanges>
    <protectedRange sqref="E5:K33" name="Omr?de1"/>
  </protectedRanges>
  <mergeCells count="4">
    <mergeCell ref="A1:H1"/>
    <mergeCell ref="A2:H2"/>
    <mergeCell ref="A3:H3"/>
    <mergeCell ref="A4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2.28125" style="0" bestFit="1" customWidth="1"/>
    <col min="2" max="2" width="3.8515625" style="0" bestFit="1" customWidth="1"/>
    <col min="3" max="3" width="22.421875" style="0" bestFit="1" customWidth="1"/>
    <col min="4" max="4" width="6.28125" style="0" bestFit="1" customWidth="1"/>
    <col min="5" max="5" width="11.8515625" style="0" bestFit="1" customWidth="1"/>
    <col min="6" max="6" width="14.421875" style="0" bestFit="1" customWidth="1"/>
    <col min="7" max="7" width="11.57421875" style="0" bestFit="1" customWidth="1"/>
    <col min="8" max="8" width="15.421875" style="0" bestFit="1" customWidth="1"/>
  </cols>
  <sheetData>
    <row r="1" spans="1:8" ht="15" customHeight="1">
      <c r="A1" s="80" t="s">
        <v>100</v>
      </c>
      <c r="B1" s="80"/>
      <c r="C1" s="80"/>
      <c r="D1" s="80"/>
      <c r="E1" s="80"/>
      <c r="F1" s="80"/>
      <c r="G1" s="80"/>
      <c r="H1" s="80"/>
    </row>
    <row r="2" spans="1:8" ht="15" customHeight="1">
      <c r="A2" s="80" t="s">
        <v>101</v>
      </c>
      <c r="B2" s="80"/>
      <c r="C2" s="80"/>
      <c r="D2" s="80"/>
      <c r="E2" s="80"/>
      <c r="F2" s="80"/>
      <c r="G2" s="80"/>
      <c r="H2" s="80"/>
    </row>
    <row r="3" spans="1:8" ht="15" customHeight="1">
      <c r="A3" s="80" t="s">
        <v>162</v>
      </c>
      <c r="B3" s="80"/>
      <c r="C3" s="80"/>
      <c r="D3" s="80"/>
      <c r="E3" s="80"/>
      <c r="F3" s="80"/>
      <c r="G3" s="80"/>
      <c r="H3" s="80"/>
    </row>
    <row r="4" spans="1:8" ht="15">
      <c r="A4" s="81"/>
      <c r="B4" s="81"/>
      <c r="C4" s="81"/>
      <c r="D4" s="81"/>
      <c r="E4" s="81"/>
      <c r="F4" s="81"/>
      <c r="G4" s="81"/>
      <c r="H4" s="81"/>
    </row>
    <row r="5" spans="1:8" ht="15">
      <c r="A5" s="58" t="s">
        <v>103</v>
      </c>
      <c r="B5" s="58" t="s">
        <v>104</v>
      </c>
      <c r="C5" s="58" t="s">
        <v>105</v>
      </c>
      <c r="D5" s="60" t="s">
        <v>26</v>
      </c>
      <c r="E5" s="60" t="s">
        <v>106</v>
      </c>
      <c r="F5" s="60" t="s">
        <v>107</v>
      </c>
      <c r="G5" s="60" t="s">
        <v>108</v>
      </c>
      <c r="H5" s="60" t="s">
        <v>109</v>
      </c>
    </row>
    <row r="6" spans="1:8" ht="15">
      <c r="A6" s="59" t="s">
        <v>33</v>
      </c>
      <c r="B6" s="61">
        <v>30</v>
      </c>
      <c r="C6" s="59" t="s">
        <v>110</v>
      </c>
      <c r="D6" s="62">
        <v>2</v>
      </c>
      <c r="E6" s="62">
        <v>5570</v>
      </c>
      <c r="F6" s="62">
        <v>0</v>
      </c>
      <c r="G6" s="62">
        <v>5570</v>
      </c>
      <c r="H6" s="63" t="s">
        <v>111</v>
      </c>
    </row>
    <row r="7" spans="1:8" ht="15">
      <c r="A7" s="59" t="s">
        <v>33</v>
      </c>
      <c r="B7" s="61">
        <v>31</v>
      </c>
      <c r="C7" s="59" t="s">
        <v>112</v>
      </c>
      <c r="D7" s="62">
        <v>2</v>
      </c>
      <c r="E7" s="62">
        <v>4032</v>
      </c>
      <c r="F7" s="62">
        <v>0</v>
      </c>
      <c r="G7" s="62">
        <v>4032</v>
      </c>
      <c r="H7" s="63" t="s">
        <v>111</v>
      </c>
    </row>
    <row r="8" spans="1:8" ht="15">
      <c r="A8" s="59" t="s">
        <v>33</v>
      </c>
      <c r="B8" s="61">
        <v>32</v>
      </c>
      <c r="C8" s="59" t="s">
        <v>113</v>
      </c>
      <c r="D8" s="62">
        <v>2</v>
      </c>
      <c r="E8" s="62">
        <v>7702</v>
      </c>
      <c r="F8" s="62">
        <v>0</v>
      </c>
      <c r="G8" s="62">
        <v>7702</v>
      </c>
      <c r="H8" s="63" t="s">
        <v>111</v>
      </c>
    </row>
    <row r="9" spans="1:8" ht="15">
      <c r="A9" s="59" t="s">
        <v>33</v>
      </c>
      <c r="B9" s="61">
        <v>33</v>
      </c>
      <c r="C9" s="59" t="s">
        <v>114</v>
      </c>
      <c r="D9" s="62">
        <v>2</v>
      </c>
      <c r="E9" s="62">
        <v>4356</v>
      </c>
      <c r="F9" s="62">
        <v>0</v>
      </c>
      <c r="G9" s="62">
        <v>4356</v>
      </c>
      <c r="H9" s="63" t="s">
        <v>111</v>
      </c>
    </row>
    <row r="10" spans="1:8" ht="15">
      <c r="A10" s="59" t="s">
        <v>33</v>
      </c>
      <c r="B10" s="61">
        <v>34</v>
      </c>
      <c r="C10" s="59" t="s">
        <v>115</v>
      </c>
      <c r="D10" s="62">
        <v>2</v>
      </c>
      <c r="E10" s="62">
        <v>3850</v>
      </c>
      <c r="F10" s="62">
        <v>0</v>
      </c>
      <c r="G10" s="62">
        <v>3850</v>
      </c>
      <c r="H10" s="63" t="s">
        <v>111</v>
      </c>
    </row>
    <row r="11" spans="1:8" ht="15">
      <c r="A11" s="59" t="s">
        <v>33</v>
      </c>
      <c r="B11" s="61">
        <v>35</v>
      </c>
      <c r="C11" s="59" t="s">
        <v>116</v>
      </c>
      <c r="D11" s="62">
        <v>2</v>
      </c>
      <c r="E11" s="62">
        <v>6270</v>
      </c>
      <c r="F11" s="62">
        <v>0</v>
      </c>
      <c r="G11" s="62">
        <v>6270</v>
      </c>
      <c r="H11" s="63" t="s">
        <v>111</v>
      </c>
    </row>
    <row r="12" spans="1:8" ht="15">
      <c r="A12" s="59" t="s">
        <v>33</v>
      </c>
      <c r="B12" s="61">
        <v>36</v>
      </c>
      <c r="C12" s="59" t="s">
        <v>117</v>
      </c>
      <c r="D12" s="62">
        <v>2</v>
      </c>
      <c r="E12" s="62">
        <v>4938</v>
      </c>
      <c r="F12" s="62">
        <v>0</v>
      </c>
      <c r="G12" s="62">
        <v>4938</v>
      </c>
      <c r="H12" s="63" t="s">
        <v>111</v>
      </c>
    </row>
    <row r="13" spans="1:8" ht="15">
      <c r="A13" s="59" t="s">
        <v>33</v>
      </c>
      <c r="B13" s="61">
        <v>37</v>
      </c>
      <c r="C13" s="59" t="s">
        <v>118</v>
      </c>
      <c r="D13" s="62">
        <v>2</v>
      </c>
      <c r="E13" s="62">
        <v>6458</v>
      </c>
      <c r="F13" s="62">
        <v>0</v>
      </c>
      <c r="G13" s="62">
        <v>6458</v>
      </c>
      <c r="H13" s="63" t="s">
        <v>111</v>
      </c>
    </row>
    <row r="14" spans="1:8" ht="15">
      <c r="A14" s="59" t="s">
        <v>33</v>
      </c>
      <c r="B14" s="61">
        <v>38</v>
      </c>
      <c r="C14" s="59" t="s">
        <v>119</v>
      </c>
      <c r="D14" s="62">
        <v>2</v>
      </c>
      <c r="E14" s="62">
        <v>4862</v>
      </c>
      <c r="F14" s="62">
        <v>0</v>
      </c>
      <c r="G14" s="62">
        <v>4862</v>
      </c>
      <c r="H14" s="63" t="s">
        <v>111</v>
      </c>
    </row>
    <row r="15" spans="1:8" ht="15">
      <c r="A15" s="59" t="s">
        <v>33</v>
      </c>
      <c r="B15" s="61">
        <v>39</v>
      </c>
      <c r="C15" s="59" t="s">
        <v>120</v>
      </c>
      <c r="D15" s="62">
        <v>2</v>
      </c>
      <c r="E15" s="62">
        <v>4288</v>
      </c>
      <c r="F15" s="62">
        <v>0</v>
      </c>
      <c r="G15" s="62">
        <v>4288</v>
      </c>
      <c r="H15" s="63" t="s">
        <v>111</v>
      </c>
    </row>
    <row r="16" spans="1:8" ht="15">
      <c r="A16" s="59" t="s">
        <v>33</v>
      </c>
      <c r="B16" s="61">
        <v>40</v>
      </c>
      <c r="C16" s="59" t="s">
        <v>121</v>
      </c>
      <c r="D16" s="62">
        <v>2</v>
      </c>
      <c r="E16" s="62">
        <v>4646</v>
      </c>
      <c r="F16" s="62">
        <v>0</v>
      </c>
      <c r="G16" s="62">
        <v>4646</v>
      </c>
      <c r="H16" s="63" t="s">
        <v>111</v>
      </c>
    </row>
    <row r="17" spans="1:8" ht="15">
      <c r="A17" s="59" t="s">
        <v>33</v>
      </c>
      <c r="B17" s="61">
        <v>41</v>
      </c>
      <c r="C17" s="59" t="s">
        <v>122</v>
      </c>
      <c r="D17" s="62">
        <v>2</v>
      </c>
      <c r="E17" s="62">
        <v>6220</v>
      </c>
      <c r="F17" s="62">
        <v>0</v>
      </c>
      <c r="G17" s="62">
        <v>6220</v>
      </c>
      <c r="H17" s="63" t="s">
        <v>111</v>
      </c>
    </row>
    <row r="18" spans="1:8" ht="15">
      <c r="A18" s="59" t="s">
        <v>33</v>
      </c>
      <c r="B18" s="61">
        <v>42</v>
      </c>
      <c r="C18" s="59" t="s">
        <v>123</v>
      </c>
      <c r="D18" s="62">
        <v>2</v>
      </c>
      <c r="E18" s="62">
        <v>3196</v>
      </c>
      <c r="F18" s="62">
        <v>0</v>
      </c>
      <c r="G18" s="62">
        <v>3196</v>
      </c>
      <c r="H18" s="63" t="s">
        <v>111</v>
      </c>
    </row>
    <row r="19" spans="1:8" ht="15">
      <c r="A19" s="59" t="s">
        <v>33</v>
      </c>
      <c r="B19" s="61">
        <v>43</v>
      </c>
      <c r="C19" s="59" t="s">
        <v>124</v>
      </c>
      <c r="D19" s="62">
        <v>2</v>
      </c>
      <c r="E19" s="62">
        <v>6330</v>
      </c>
      <c r="F19" s="62">
        <v>0</v>
      </c>
      <c r="G19" s="62">
        <v>6330</v>
      </c>
      <c r="H19" s="63" t="s">
        <v>111</v>
      </c>
    </row>
    <row r="20" spans="1:8" ht="15">
      <c r="A20" s="59" t="s">
        <v>33</v>
      </c>
      <c r="B20" s="61">
        <v>44</v>
      </c>
      <c r="C20" s="59" t="s">
        <v>125</v>
      </c>
      <c r="D20" s="62">
        <v>2</v>
      </c>
      <c r="E20" s="62">
        <v>5098</v>
      </c>
      <c r="F20" s="62">
        <v>0</v>
      </c>
      <c r="G20" s="62">
        <v>5098</v>
      </c>
      <c r="H20" s="63" t="s">
        <v>111</v>
      </c>
    </row>
    <row r="21" spans="1:8" ht="15">
      <c r="A21" s="59" t="s">
        <v>33</v>
      </c>
      <c r="B21" s="61">
        <v>45</v>
      </c>
      <c r="C21" s="59" t="s">
        <v>126</v>
      </c>
      <c r="D21" s="62">
        <v>2</v>
      </c>
      <c r="E21" s="62">
        <v>4816</v>
      </c>
      <c r="F21" s="62">
        <v>0</v>
      </c>
      <c r="G21" s="62">
        <v>4816</v>
      </c>
      <c r="H21" s="63" t="s">
        <v>111</v>
      </c>
    </row>
    <row r="22" spans="1:8" ht="15">
      <c r="A22" s="59" t="s">
        <v>33</v>
      </c>
      <c r="B22" s="61">
        <v>46</v>
      </c>
      <c r="C22" s="59" t="s">
        <v>127</v>
      </c>
      <c r="D22" s="62">
        <v>2</v>
      </c>
      <c r="E22" s="62">
        <v>4860</v>
      </c>
      <c r="F22" s="62">
        <v>0</v>
      </c>
      <c r="G22" s="62">
        <v>4860</v>
      </c>
      <c r="H22" s="63" t="s">
        <v>111</v>
      </c>
    </row>
    <row r="23" spans="1:8" ht="15">
      <c r="A23" s="59" t="s">
        <v>33</v>
      </c>
      <c r="B23" s="61">
        <v>47</v>
      </c>
      <c r="C23" s="59" t="s">
        <v>128</v>
      </c>
      <c r="D23" s="62">
        <v>2</v>
      </c>
      <c r="E23" s="62">
        <v>4140</v>
      </c>
      <c r="F23" s="62">
        <v>0</v>
      </c>
      <c r="G23" s="62">
        <v>4140</v>
      </c>
      <c r="H23" s="63" t="s">
        <v>111</v>
      </c>
    </row>
    <row r="24" spans="1:8" ht="15">
      <c r="A24" s="59" t="s">
        <v>33</v>
      </c>
      <c r="B24" s="61">
        <v>48</v>
      </c>
      <c r="C24" s="59" t="s">
        <v>129</v>
      </c>
      <c r="D24" s="62">
        <v>2</v>
      </c>
      <c r="E24" s="62">
        <v>4140</v>
      </c>
      <c r="F24" s="62">
        <v>0</v>
      </c>
      <c r="G24" s="62">
        <v>4140</v>
      </c>
      <c r="H24" s="63" t="s">
        <v>111</v>
      </c>
    </row>
    <row r="25" spans="1:8" ht="15">
      <c r="A25" s="59" t="s">
        <v>33</v>
      </c>
      <c r="B25" s="61">
        <v>49</v>
      </c>
      <c r="C25" s="59" t="s">
        <v>130</v>
      </c>
      <c r="D25" s="62">
        <v>2</v>
      </c>
      <c r="E25" s="62">
        <v>5812</v>
      </c>
      <c r="F25" s="62">
        <v>0</v>
      </c>
      <c r="G25" s="62">
        <v>5812</v>
      </c>
      <c r="H25" s="63" t="s">
        <v>111</v>
      </c>
    </row>
    <row r="26" spans="1:8" ht="15">
      <c r="A26" s="59" t="s">
        <v>33</v>
      </c>
      <c r="B26" s="61">
        <v>50</v>
      </c>
      <c r="C26" s="59" t="s">
        <v>131</v>
      </c>
      <c r="D26" s="62">
        <v>2</v>
      </c>
      <c r="E26" s="62">
        <v>4936</v>
      </c>
      <c r="F26" s="62">
        <v>0</v>
      </c>
      <c r="G26" s="62">
        <v>4936</v>
      </c>
      <c r="H26" s="63" t="s">
        <v>111</v>
      </c>
    </row>
    <row r="27" spans="1:8" ht="15">
      <c r="A27" s="59" t="s">
        <v>33</v>
      </c>
      <c r="B27" s="61">
        <v>51</v>
      </c>
      <c r="C27" s="59" t="s">
        <v>132</v>
      </c>
      <c r="D27" s="62">
        <v>2</v>
      </c>
      <c r="E27" s="62">
        <v>4494</v>
      </c>
      <c r="F27" s="62">
        <v>0</v>
      </c>
      <c r="G27" s="62">
        <v>4494</v>
      </c>
      <c r="H27" s="63" t="s">
        <v>111</v>
      </c>
    </row>
    <row r="28" spans="1:8" ht="15">
      <c r="A28" s="59" t="s">
        <v>33</v>
      </c>
      <c r="B28" s="61">
        <v>52</v>
      </c>
      <c r="C28" s="59" t="s">
        <v>133</v>
      </c>
      <c r="D28" s="62">
        <v>2</v>
      </c>
      <c r="E28" s="62">
        <v>5312</v>
      </c>
      <c r="F28" s="62">
        <v>0</v>
      </c>
      <c r="G28" s="62">
        <v>5312</v>
      </c>
      <c r="H28" s="63" t="s">
        <v>111</v>
      </c>
    </row>
    <row r="29" spans="1:8" ht="15">
      <c r="A29" s="59" t="s">
        <v>33</v>
      </c>
      <c r="B29" s="61">
        <v>53</v>
      </c>
      <c r="C29" s="59" t="s">
        <v>134</v>
      </c>
      <c r="D29" s="62">
        <v>2</v>
      </c>
      <c r="E29" s="62">
        <v>5112</v>
      </c>
      <c r="F29" s="62">
        <v>0</v>
      </c>
      <c r="G29" s="62">
        <v>5112</v>
      </c>
      <c r="H29" s="63" t="s">
        <v>111</v>
      </c>
    </row>
    <row r="30" spans="1:8" ht="15">
      <c r="A30" s="59" t="s">
        <v>33</v>
      </c>
      <c r="B30" s="61">
        <v>54</v>
      </c>
      <c r="C30" s="59" t="s">
        <v>135</v>
      </c>
      <c r="D30" s="62">
        <v>2</v>
      </c>
      <c r="E30" s="62">
        <v>5984</v>
      </c>
      <c r="F30" s="62">
        <v>0</v>
      </c>
      <c r="G30" s="62">
        <v>5984</v>
      </c>
      <c r="H30" s="63" t="s">
        <v>111</v>
      </c>
    </row>
    <row r="31" spans="1:8" ht="15">
      <c r="A31" s="59" t="s">
        <v>33</v>
      </c>
      <c r="B31" s="61">
        <v>55</v>
      </c>
      <c r="C31" s="59" t="s">
        <v>136</v>
      </c>
      <c r="D31" s="62">
        <v>2</v>
      </c>
      <c r="E31" s="62">
        <v>4862</v>
      </c>
      <c r="F31" s="62">
        <v>0</v>
      </c>
      <c r="G31" s="62">
        <v>4862</v>
      </c>
      <c r="H31" s="63" t="s">
        <v>111</v>
      </c>
    </row>
    <row r="32" spans="1:8" ht="15">
      <c r="A32" s="59" t="s">
        <v>33</v>
      </c>
      <c r="B32" s="61">
        <v>56</v>
      </c>
      <c r="C32" s="59" t="s">
        <v>137</v>
      </c>
      <c r="D32" s="62">
        <v>2</v>
      </c>
      <c r="E32" s="62">
        <v>5350</v>
      </c>
      <c r="F32" s="62">
        <v>0</v>
      </c>
      <c r="G32" s="62">
        <v>5350</v>
      </c>
      <c r="H32" s="63" t="s">
        <v>111</v>
      </c>
    </row>
    <row r="33" spans="1:8" ht="15">
      <c r="A33" s="58" t="s">
        <v>138</v>
      </c>
      <c r="B33" s="64"/>
      <c r="C33" s="64"/>
      <c r="D33" s="65">
        <v>54</v>
      </c>
      <c r="E33" s="65">
        <v>137634</v>
      </c>
      <c r="F33" s="65">
        <v>0</v>
      </c>
      <c r="G33" s="65">
        <v>137634</v>
      </c>
      <c r="H33" s="60" t="s">
        <v>111</v>
      </c>
    </row>
    <row r="34" spans="1:8" ht="15">
      <c r="A34" s="58" t="s">
        <v>139</v>
      </c>
      <c r="B34" s="64"/>
      <c r="C34" s="64"/>
      <c r="D34" s="65">
        <v>54</v>
      </c>
      <c r="E34" s="65">
        <v>137634</v>
      </c>
      <c r="F34" s="65">
        <v>0</v>
      </c>
      <c r="G34" s="65">
        <v>137634</v>
      </c>
      <c r="H34" s="60" t="s">
        <v>111</v>
      </c>
    </row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N4" sqref="N4"/>
    </sheetView>
  </sheetViews>
  <sheetFormatPr defaultColWidth="9.140625" defaultRowHeight="12.75"/>
  <cols>
    <col min="1" max="1" width="6.57421875" style="0" bestFit="1" customWidth="1"/>
    <col min="2" max="2" width="11.140625" style="0" bestFit="1" customWidth="1"/>
    <col min="3" max="3" width="10.140625" style="0" bestFit="1" customWidth="1"/>
    <col min="4" max="4" width="5.8515625" style="0" bestFit="1" customWidth="1"/>
    <col min="5" max="5" width="15.140625" style="0" bestFit="1" customWidth="1"/>
    <col min="6" max="6" width="31.421875" style="0" bestFit="1" customWidth="1"/>
    <col min="7" max="7" width="6.7109375" style="0" bestFit="1" customWidth="1"/>
    <col min="8" max="8" width="7.140625" style="0" bestFit="1" customWidth="1"/>
  </cols>
  <sheetData>
    <row r="1" spans="1:13" ht="15" customHeight="1">
      <c r="A1" s="80" t="s">
        <v>100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5" customHeight="1">
      <c r="A2" s="80" t="s">
        <v>140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5" customHeight="1">
      <c r="A3" s="80" t="s">
        <v>141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4" ht="1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67">
        <f>I9+I13+I17+I19</f>
        <v>32796</v>
      </c>
    </row>
    <row r="5" spans="1:10" ht="15">
      <c r="A5" s="58" t="s">
        <v>142</v>
      </c>
      <c r="B5" s="58" t="s">
        <v>105</v>
      </c>
      <c r="C5" s="58" t="s">
        <v>143</v>
      </c>
      <c r="D5" s="58" t="s">
        <v>144</v>
      </c>
      <c r="E5" s="58" t="s">
        <v>145</v>
      </c>
      <c r="F5" s="58" t="s">
        <v>146</v>
      </c>
      <c r="G5" s="58" t="s">
        <v>147</v>
      </c>
      <c r="H5" s="58" t="s">
        <v>148</v>
      </c>
      <c r="I5" s="60" t="s">
        <v>149</v>
      </c>
      <c r="J5" s="60" t="s">
        <v>150</v>
      </c>
    </row>
    <row r="6" spans="1:10" ht="15">
      <c r="A6" s="61">
        <v>2263</v>
      </c>
      <c r="B6" s="59" t="s">
        <v>151</v>
      </c>
      <c r="C6" s="66">
        <v>40703</v>
      </c>
      <c r="D6" s="61">
        <v>32</v>
      </c>
      <c r="E6" s="59" t="s">
        <v>152</v>
      </c>
      <c r="F6" s="59" t="s">
        <v>153</v>
      </c>
      <c r="G6" s="64"/>
      <c r="H6" s="64"/>
      <c r="I6" s="62">
        <v>7200</v>
      </c>
      <c r="J6" s="62">
        <v>7200</v>
      </c>
    </row>
    <row r="7" spans="1:10" ht="15">
      <c r="A7" s="61">
        <v>2263</v>
      </c>
      <c r="B7" s="59" t="s">
        <v>151</v>
      </c>
      <c r="C7" s="66">
        <v>40703</v>
      </c>
      <c r="D7" s="61">
        <v>48</v>
      </c>
      <c r="E7" s="59" t="s">
        <v>152</v>
      </c>
      <c r="F7" s="59" t="s">
        <v>154</v>
      </c>
      <c r="G7" s="64"/>
      <c r="H7" s="64"/>
      <c r="I7" s="62">
        <v>-1583</v>
      </c>
      <c r="J7" s="62">
        <v>5617</v>
      </c>
    </row>
    <row r="8" spans="1:10" ht="15">
      <c r="A8" s="61">
        <v>2263</v>
      </c>
      <c r="B8" s="59" t="s">
        <v>151</v>
      </c>
      <c r="C8" s="66">
        <v>40703</v>
      </c>
      <c r="D8" s="61">
        <v>415</v>
      </c>
      <c r="E8" s="59" t="s">
        <v>152</v>
      </c>
      <c r="F8" s="59" t="s">
        <v>155</v>
      </c>
      <c r="G8" s="64"/>
      <c r="H8" s="64"/>
      <c r="I8" s="62">
        <v>2582</v>
      </c>
      <c r="J8" s="62">
        <v>8199</v>
      </c>
    </row>
    <row r="9" spans="1:10" ht="15">
      <c r="A9" s="61"/>
      <c r="B9" s="59"/>
      <c r="C9" s="66"/>
      <c r="D9" s="61"/>
      <c r="E9" s="59"/>
      <c r="F9" s="59"/>
      <c r="G9" s="64"/>
      <c r="H9" s="64"/>
      <c r="I9" s="62">
        <f>SUM(I6:I8)</f>
        <v>8199</v>
      </c>
      <c r="J9" s="62"/>
    </row>
    <row r="10" spans="1:10" ht="15">
      <c r="A10" s="61"/>
      <c r="B10" s="59"/>
      <c r="C10" s="66"/>
      <c r="D10" s="61"/>
      <c r="E10" s="59"/>
      <c r="F10" s="59"/>
      <c r="G10" s="64"/>
      <c r="H10" s="64"/>
      <c r="I10" s="62"/>
      <c r="J10" s="62"/>
    </row>
    <row r="11" spans="1:10" ht="15">
      <c r="A11" s="61">
        <v>2263</v>
      </c>
      <c r="B11" s="59" t="s">
        <v>151</v>
      </c>
      <c r="C11" s="66">
        <v>40755</v>
      </c>
      <c r="D11" s="61">
        <v>1</v>
      </c>
      <c r="E11" s="59" t="s">
        <v>156</v>
      </c>
      <c r="F11" s="59" t="s">
        <v>157</v>
      </c>
      <c r="G11" s="64"/>
      <c r="H11" s="64"/>
      <c r="I11" s="62">
        <v>5617</v>
      </c>
      <c r="J11" s="62">
        <v>13816</v>
      </c>
    </row>
    <row r="12" spans="1:10" ht="15">
      <c r="A12" s="61">
        <v>2263</v>
      </c>
      <c r="B12" s="59" t="s">
        <v>151</v>
      </c>
      <c r="C12" s="66">
        <v>40816</v>
      </c>
      <c r="D12" s="61">
        <v>415</v>
      </c>
      <c r="E12" s="59" t="s">
        <v>152</v>
      </c>
      <c r="F12" s="59" t="s">
        <v>160</v>
      </c>
      <c r="G12" s="64"/>
      <c r="H12" s="64"/>
      <c r="I12" s="62">
        <v>2582</v>
      </c>
      <c r="J12" s="62">
        <v>35473</v>
      </c>
    </row>
    <row r="13" spans="1:10" ht="15">
      <c r="A13" s="61"/>
      <c r="B13" s="59"/>
      <c r="C13" s="66"/>
      <c r="D13" s="61"/>
      <c r="E13" s="59"/>
      <c r="F13" s="59"/>
      <c r="G13" s="64"/>
      <c r="H13" s="64"/>
      <c r="I13" s="62">
        <f>SUM(I11:I12)</f>
        <v>8199</v>
      </c>
      <c r="J13" s="62"/>
    </row>
    <row r="14" spans="1:10" ht="15">
      <c r="A14" s="61"/>
      <c r="B14" s="59"/>
      <c r="C14" s="66"/>
      <c r="D14" s="61"/>
      <c r="E14" s="59"/>
      <c r="F14" s="59"/>
      <c r="G14" s="64"/>
      <c r="H14" s="64"/>
      <c r="I14" s="62"/>
      <c r="J14" s="62"/>
    </row>
    <row r="15" spans="1:10" ht="15">
      <c r="A15" s="61">
        <v>2263</v>
      </c>
      <c r="B15" s="59" t="s">
        <v>151</v>
      </c>
      <c r="C15" s="66">
        <v>40816</v>
      </c>
      <c r="D15" s="61">
        <v>2</v>
      </c>
      <c r="E15" s="59" t="s">
        <v>156</v>
      </c>
      <c r="F15" s="59" t="s">
        <v>157</v>
      </c>
      <c r="G15" s="64"/>
      <c r="H15" s="64"/>
      <c r="I15" s="62">
        <v>5617</v>
      </c>
      <c r="J15" s="62">
        <v>19433</v>
      </c>
    </row>
    <row r="16" spans="1:10" ht="15">
      <c r="A16" s="61">
        <v>2263</v>
      </c>
      <c r="B16" s="59" t="s">
        <v>151</v>
      </c>
      <c r="C16" s="66">
        <v>40816</v>
      </c>
      <c r="D16" s="61">
        <v>415</v>
      </c>
      <c r="E16" s="59" t="s">
        <v>152</v>
      </c>
      <c r="F16" s="59" t="s">
        <v>159</v>
      </c>
      <c r="G16" s="64"/>
      <c r="H16" s="64"/>
      <c r="I16" s="62">
        <v>2582</v>
      </c>
      <c r="J16" s="62">
        <v>32891</v>
      </c>
    </row>
    <row r="17" spans="1:10" ht="15">
      <c r="A17" s="61"/>
      <c r="B17" s="59"/>
      <c r="C17" s="66"/>
      <c r="D17" s="61"/>
      <c r="E17" s="59"/>
      <c r="F17" s="59"/>
      <c r="G17" s="64"/>
      <c r="H17" s="64"/>
      <c r="I17" s="62">
        <f>SUM(I15:I16)</f>
        <v>8199</v>
      </c>
      <c r="J17" s="62"/>
    </row>
    <row r="18" spans="1:10" ht="15">
      <c r="A18" s="61"/>
      <c r="B18" s="59"/>
      <c r="C18" s="66"/>
      <c r="D18" s="61"/>
      <c r="E18" s="59"/>
      <c r="F18" s="59"/>
      <c r="G18" s="64"/>
      <c r="H18" s="64"/>
      <c r="I18" s="62"/>
      <c r="J18" s="62"/>
    </row>
    <row r="19" spans="1:10" ht="15">
      <c r="A19" s="61">
        <v>2263</v>
      </c>
      <c r="B19" s="59" t="s">
        <v>151</v>
      </c>
      <c r="C19" s="66">
        <v>40877</v>
      </c>
      <c r="D19" s="61">
        <v>3</v>
      </c>
      <c r="E19" s="59" t="s">
        <v>156</v>
      </c>
      <c r="F19" s="59" t="s">
        <v>157</v>
      </c>
      <c r="G19" s="64"/>
      <c r="H19" s="64"/>
      <c r="I19" s="62">
        <v>8199</v>
      </c>
      <c r="J19" s="62">
        <v>43672</v>
      </c>
    </row>
    <row r="20" ht="12.75">
      <c r="I20" s="67"/>
    </row>
    <row r="22" spans="1:10" ht="15">
      <c r="A22" s="61">
        <v>2263</v>
      </c>
      <c r="B22" s="59" t="s">
        <v>151</v>
      </c>
      <c r="C22" s="66">
        <v>40816</v>
      </c>
      <c r="D22" s="61">
        <v>415</v>
      </c>
      <c r="E22" s="59" t="s">
        <v>152</v>
      </c>
      <c r="F22" s="59" t="s">
        <v>158</v>
      </c>
      <c r="G22" s="64"/>
      <c r="H22" s="64"/>
      <c r="I22" s="62">
        <v>10876</v>
      </c>
      <c r="J22" s="62">
        <v>30309</v>
      </c>
    </row>
  </sheetData>
  <sheetProtection/>
  <mergeCells count="4">
    <mergeCell ref="A1:M1"/>
    <mergeCell ref="A2:M2"/>
    <mergeCell ref="A3:M3"/>
    <mergeCell ref="A4:M4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N5" sqref="N5"/>
    </sheetView>
  </sheetViews>
  <sheetFormatPr defaultColWidth="9.140625" defaultRowHeight="12.75"/>
  <cols>
    <col min="1" max="1" width="6.57421875" style="0" bestFit="1" customWidth="1"/>
    <col min="2" max="2" width="11.140625" style="0" bestFit="1" customWidth="1"/>
    <col min="3" max="3" width="10.140625" style="0" bestFit="1" customWidth="1"/>
    <col min="4" max="4" width="5.8515625" style="0" bestFit="1" customWidth="1"/>
    <col min="5" max="5" width="15.140625" style="0" bestFit="1" customWidth="1"/>
    <col min="6" max="6" width="25.00390625" style="0" bestFit="1" customWidth="1"/>
    <col min="7" max="7" width="6.7109375" style="0" bestFit="1" customWidth="1"/>
    <col min="8" max="8" width="7.140625" style="0" bestFit="1" customWidth="1"/>
    <col min="9" max="9" width="8.140625" style="0" bestFit="1" customWidth="1"/>
  </cols>
  <sheetData>
    <row r="1" spans="1:13" ht="15" customHeight="1">
      <c r="A1" s="80" t="s">
        <v>100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5" customHeight="1">
      <c r="A2" s="80" t="s">
        <v>140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5" customHeight="1">
      <c r="A3" s="80" t="s">
        <v>163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4" ht="1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67">
        <f>SUM(I6:I7)</f>
        <v>16398</v>
      </c>
    </row>
    <row r="5" spans="1:10" ht="15">
      <c r="A5" s="58" t="s">
        <v>142</v>
      </c>
      <c r="B5" s="58" t="s">
        <v>105</v>
      </c>
      <c r="C5" s="58" t="s">
        <v>143</v>
      </c>
      <c r="D5" s="58" t="s">
        <v>144</v>
      </c>
      <c r="E5" s="58" t="s">
        <v>145</v>
      </c>
      <c r="F5" s="58" t="s">
        <v>146</v>
      </c>
      <c r="G5" s="58" t="s">
        <v>147</v>
      </c>
      <c r="H5" s="58" t="s">
        <v>148</v>
      </c>
      <c r="I5" s="60" t="s">
        <v>149</v>
      </c>
      <c r="J5" s="60" t="s">
        <v>150</v>
      </c>
    </row>
    <row r="6" spans="1:10" ht="15">
      <c r="A6" s="61">
        <v>2263</v>
      </c>
      <c r="B6" s="59" t="s">
        <v>151</v>
      </c>
      <c r="C6" s="66">
        <v>40939</v>
      </c>
      <c r="D6" s="61">
        <v>4</v>
      </c>
      <c r="E6" s="59" t="s">
        <v>156</v>
      </c>
      <c r="F6" s="59" t="s">
        <v>157</v>
      </c>
      <c r="G6" s="64"/>
      <c r="H6" s="64"/>
      <c r="I6" s="62">
        <v>8199</v>
      </c>
      <c r="J6" s="62">
        <v>8199</v>
      </c>
    </row>
    <row r="7" spans="1:10" ht="15">
      <c r="A7" s="61">
        <v>2263</v>
      </c>
      <c r="B7" s="59" t="s">
        <v>151</v>
      </c>
      <c r="C7" s="66">
        <v>40999</v>
      </c>
      <c r="D7" s="61">
        <v>5</v>
      </c>
      <c r="E7" s="59" t="s">
        <v>156</v>
      </c>
      <c r="F7" s="59" t="s">
        <v>157</v>
      </c>
      <c r="G7" s="64"/>
      <c r="H7" s="64"/>
      <c r="I7" s="62">
        <v>8199</v>
      </c>
      <c r="J7" s="62">
        <v>16398</v>
      </c>
    </row>
  </sheetData>
  <sheetProtection/>
  <mergeCells count="4">
    <mergeCell ref="A1:M1"/>
    <mergeCell ref="A2:M2"/>
    <mergeCell ref="A3:M3"/>
    <mergeCell ref="A4:M4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M9" sqref="M9"/>
    </sheetView>
  </sheetViews>
  <sheetFormatPr defaultColWidth="9.140625" defaultRowHeight="12.75"/>
  <sheetData>
    <row r="1" spans="1:13" ht="12.75">
      <c r="A1" t="s">
        <v>177</v>
      </c>
      <c r="B1" s="76">
        <v>0.395</v>
      </c>
      <c r="D1" s="14">
        <v>190</v>
      </c>
      <c r="E1" s="1">
        <v>4</v>
      </c>
      <c r="F1" s="11"/>
      <c r="G1" s="11"/>
      <c r="H1" s="11">
        <f>$G$2*(0.4)*E1/(E$1+E$2+E$3)</f>
        <v>6850.003199999999</v>
      </c>
      <c r="I1" s="11">
        <f>$G$2*(0.6)*D1/(D$1+D$2+D$3)</f>
        <v>10063.149030927834</v>
      </c>
      <c r="K1" s="38">
        <f>SUM(H1:J1)</f>
        <v>16913.152230927833</v>
      </c>
      <c r="M1">
        <f>K1/K$4</f>
        <v>0.39505154639175255</v>
      </c>
    </row>
    <row r="2" spans="1:13" ht="12.75">
      <c r="A2" t="s">
        <v>178</v>
      </c>
      <c r="B2" s="76">
        <v>0.203</v>
      </c>
      <c r="D2" s="14">
        <v>132</v>
      </c>
      <c r="E2" s="1">
        <v>1</v>
      </c>
      <c r="F2" s="11">
        <f>'[1]Gasafregning'!C8</f>
        <v>5108</v>
      </c>
      <c r="G2" s="11">
        <f>'[1]Gasafregning'!B8</f>
        <v>42812.52</v>
      </c>
      <c r="H2" s="11">
        <f>G$2*(0.4)*E2/(E$1+E$2+E$3)</f>
        <v>1712.5007999999998</v>
      </c>
      <c r="I2" s="11">
        <f>$G$2*(0.6)*D2/(D$1+D$2+D$3)</f>
        <v>6991.240379381443</v>
      </c>
      <c r="K2" s="38">
        <f>SUM(H2:J2)</f>
        <v>8703.741179381443</v>
      </c>
      <c r="M2">
        <f>K2/K$4</f>
        <v>0.20329896907216494</v>
      </c>
    </row>
    <row r="3" spans="1:13" ht="12.75">
      <c r="A3" t="s">
        <v>172</v>
      </c>
      <c r="B3" s="76">
        <v>0.402</v>
      </c>
      <c r="D3" s="14">
        <v>163</v>
      </c>
      <c r="E3" s="1">
        <v>5</v>
      </c>
      <c r="F3" s="11"/>
      <c r="G3" s="11"/>
      <c r="H3" s="11">
        <f>G$2*(0.4)*E3/(E$1+E$2+E$3)</f>
        <v>8562.503999999999</v>
      </c>
      <c r="I3" s="11">
        <f>$G$2*(0.6)*D3/(D$1+D$2+D$3)</f>
        <v>8633.122589690722</v>
      </c>
      <c r="K3" s="38">
        <f>SUM(H3:J3)</f>
        <v>17195.62658969072</v>
      </c>
      <c r="M3">
        <f>K3/K$4</f>
        <v>0.40164948453608246</v>
      </c>
    </row>
    <row r="4" spans="2:11" ht="12.75">
      <c r="B4" s="76">
        <f>SUM(B1:B3)</f>
        <v>1</v>
      </c>
      <c r="K4" s="38">
        <f>SUM(K1:K3)</f>
        <v>42812.52</v>
      </c>
    </row>
  </sheetData>
  <sheetProtection/>
  <protectedRanges>
    <protectedRange sqref="D1:E3" name="Omr?de1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NOVO NORDISK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KEIDING</dc:creator>
  <cp:keywords/>
  <dc:description/>
  <cp:lastModifiedBy>Hus11</cp:lastModifiedBy>
  <cp:lastPrinted>2011-09-29T12:09:02Z</cp:lastPrinted>
  <dcterms:created xsi:type="dcterms:W3CDTF">2000-08-12T16:15:10Z</dcterms:created>
  <dcterms:modified xsi:type="dcterms:W3CDTF">2012-06-30T10:23:06Z</dcterms:modified>
  <cp:category/>
  <cp:version/>
  <cp:contentType/>
  <cp:contentStatus/>
</cp:coreProperties>
</file>