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10" windowHeight="6315" activeTab="0"/>
  </bookViews>
  <sheets>
    <sheet name="Varmeregnskab" sheetId="1" r:id="rId1"/>
    <sheet name="A conto" sheetId="2" r:id="rId2"/>
  </sheets>
  <definedNames/>
  <calcPr fullCalcOnLoad="1"/>
</workbook>
</file>

<file path=xl/sharedStrings.xml><?xml version="1.0" encoding="utf-8"?>
<sst xmlns="http://schemas.openxmlformats.org/spreadsheetml/2006/main" count="147" uniqueCount="96">
  <si>
    <t>Hus nr</t>
  </si>
  <si>
    <t>1</t>
  </si>
  <si>
    <t>2</t>
  </si>
  <si>
    <t>3</t>
  </si>
  <si>
    <t xml:space="preserve"> </t>
  </si>
  <si>
    <t>4</t>
  </si>
  <si>
    <t>5</t>
  </si>
  <si>
    <t>6</t>
  </si>
  <si>
    <t>7</t>
  </si>
  <si>
    <t>8</t>
  </si>
  <si>
    <t>9</t>
  </si>
  <si>
    <t>10</t>
  </si>
  <si>
    <t>11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</si>
  <si>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</si>
  <si>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</si>
  <si>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</si>
  <si>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</si>
  <si>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</si>
  <si>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</si>
  <si>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</si>
  <si>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</si>
  <si>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</si>
  <si>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</si>
  <si>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16</t>
  </si>
  <si>
    <t>Fæhus</t>
  </si>
  <si>
    <t>I alt</t>
  </si>
  <si>
    <t>personer</t>
  </si>
  <si>
    <t>Antal</t>
  </si>
  <si>
    <t>Gasfor</t>
  </si>
  <si>
    <t>Gasfor-</t>
  </si>
  <si>
    <t>brug kr.</t>
  </si>
  <si>
    <t>vand</t>
  </si>
  <si>
    <t>Opvarm-</t>
  </si>
  <si>
    <t>ning</t>
  </si>
  <si>
    <t>mv.</t>
  </si>
  <si>
    <t>Varme</t>
  </si>
  <si>
    <t>i alt</t>
  </si>
  <si>
    <t>Betalt</t>
  </si>
  <si>
    <t>a/conto</t>
  </si>
  <si>
    <t>pr andel</t>
  </si>
  <si>
    <r>
      <t>m</t>
    </r>
    <r>
      <rPr>
        <vertAlign val="superscript"/>
        <sz val="10"/>
        <rFont val="Arial"/>
        <family val="2"/>
      </rPr>
      <t>2</t>
    </r>
  </si>
  <si>
    <t>Varmt</t>
  </si>
  <si>
    <t>(Hus 1-8 + 12-17 + 21-23)</t>
  </si>
  <si>
    <t>26ST</t>
  </si>
  <si>
    <t>261H</t>
  </si>
  <si>
    <t>261V</t>
  </si>
  <si>
    <t>brug m2</t>
  </si>
  <si>
    <t>Gennemsnit pr m2 i alm fyrgrupper</t>
  </si>
  <si>
    <t>Gennemsnit per m2 i solpanelgrupper (Hus 9-11 + 18-20)</t>
  </si>
  <si>
    <t>Gennemsn hus 1-23</t>
  </si>
  <si>
    <t>Alm fyrg</t>
  </si>
  <si>
    <t>Gennemsnit 24-25 plus gård</t>
  </si>
  <si>
    <t>kr</t>
  </si>
  <si>
    <t>m3</t>
  </si>
  <si>
    <t>kvadratmeter hus</t>
  </si>
  <si>
    <t>kubikmeter Gas/</t>
  </si>
  <si>
    <t>13</t>
  </si>
  <si>
    <t>Vand</t>
  </si>
  <si>
    <t>Hus 24-25</t>
  </si>
  <si>
    <t>Hus 26</t>
  </si>
  <si>
    <t>-  Varme</t>
  </si>
  <si>
    <t>-  Vand</t>
  </si>
  <si>
    <t>Solfanger</t>
  </si>
  <si>
    <t>Generelt:</t>
  </si>
  <si>
    <t>A conto</t>
  </si>
  <si>
    <t>næste år</t>
  </si>
  <si>
    <t>per GEF</t>
  </si>
  <si>
    <t>Sidste år</t>
  </si>
  <si>
    <t>Kr:</t>
  </si>
  <si>
    <t>I år</t>
  </si>
  <si>
    <t>Samlet</t>
  </si>
  <si>
    <t>m3:</t>
  </si>
  <si>
    <t>Kr/m3</t>
  </si>
  <si>
    <t>Stigning</t>
  </si>
  <si>
    <t>Historik</t>
  </si>
  <si>
    <t>Forbrug +/-</t>
  </si>
  <si>
    <t>Bakken27</t>
  </si>
  <si>
    <t>Hus nr.</t>
  </si>
  <si>
    <t>Reg.GEF</t>
  </si>
  <si>
    <t>Reg.ops.</t>
  </si>
  <si>
    <t>Reg.</t>
  </si>
  <si>
    <t>5 a</t>
  </si>
  <si>
    <t>5 b</t>
  </si>
  <si>
    <t>26 a</t>
  </si>
  <si>
    <t>26b</t>
  </si>
  <si>
    <t xml:space="preserve">26c </t>
  </si>
  <si>
    <t>sidste  år</t>
  </si>
  <si>
    <t>GEF 3</t>
  </si>
  <si>
    <t xml:space="preserve">Varme a conto </t>
  </si>
  <si>
    <t>GEF 4</t>
  </si>
  <si>
    <t>GEF 5</t>
  </si>
  <si>
    <t>GEF 6</t>
  </si>
  <si>
    <t>GEF 1</t>
  </si>
  <si>
    <t>GEF 2</t>
  </si>
  <si>
    <t>Reg -1</t>
  </si>
  <si>
    <t xml:space="preserve">Varmeår:  1. maj til 30. april 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</si>
</sst>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\y\y\y\y"/>
    <numFmt numFmtId="165" formatCode="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0" fillId="0" borderId="4" xfId="0" applyFont="1" applyFill="1" applyBorder="1" applyAlignment="1">
      <alignment/>
    </xf>
    <xf numFmtId="10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2" fontId="0" fillId="0" borderId="6" xfId="0" applyNumberFormat="1" applyFont="1" applyBorder="1" applyAlignment="1">
      <alignment/>
    </xf>
    <xf numFmtId="10" fontId="0" fillId="0" borderId="7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8" fontId="6" fillId="0" borderId="10" xfId="0" applyNumberFormat="1" applyFont="1" applyBorder="1" applyAlignment="1" quotePrefix="1">
      <alignment horizontal="center"/>
    </xf>
    <xf numFmtId="3" fontId="5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10" xfId="0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7" fillId="0" borderId="11" xfId="0" applyNumberFormat="1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3" fontId="8" fillId="0" borderId="1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4" sqref="G14"/>
    </sheetView>
  </sheetViews>
  <sheetFormatPr defaultColWidth="9.140625" defaultRowHeight="12.75"/>
  <cols>
    <col min="1" max="2" width="9.140625" style="2" customWidth="1"/>
    <col min="3" max="3" width="12.7109375" style="2" bestFit="1" customWidth="1"/>
    <col min="4" max="4" width="9.140625" style="11" customWidth="1"/>
    <col min="5" max="5" width="11.140625" style="11" bestFit="1" customWidth="1"/>
    <col min="6" max="6" width="10.28125" style="11" bestFit="1" customWidth="1"/>
    <col min="7" max="8" width="9.140625" style="11" customWidth="1"/>
    <col min="9" max="10" width="9.140625" style="2" customWidth="1"/>
    <col min="11" max="11" width="9.140625" style="11" customWidth="1"/>
    <col min="12" max="12" width="10.00390625" style="11" bestFit="1" customWidth="1"/>
    <col min="13" max="14" width="9.140625" style="11" customWidth="1"/>
    <col min="15" max="16" width="9.140625" style="2" customWidth="1"/>
    <col min="17" max="17" width="10.140625" style="2" customWidth="1"/>
    <col min="18" max="20" width="9.140625" style="2" customWidth="1"/>
    <col min="21" max="21" width="10.421875" style="2" bestFit="1" customWidth="1"/>
    <col min="22" max="16384" width="9.140625" style="2" customWidth="1"/>
  </cols>
  <sheetData>
    <row r="1" spans="1:13" ht="12.75">
      <c r="A1" s="18" t="s">
        <v>70</v>
      </c>
      <c r="B1" s="19"/>
      <c r="C1" s="19"/>
      <c r="D1" s="20"/>
      <c r="E1" s="20"/>
      <c r="F1" s="20"/>
      <c r="G1" s="20"/>
      <c r="H1" s="20"/>
      <c r="I1" s="34"/>
      <c r="J1" s="19"/>
      <c r="K1" s="24"/>
      <c r="L1" s="24"/>
      <c r="M1" s="24"/>
    </row>
    <row r="2" spans="1:13" ht="18">
      <c r="A2" s="21" t="s">
        <v>69</v>
      </c>
      <c r="B2" s="22" t="s">
        <v>68</v>
      </c>
      <c r="C2" s="23">
        <f>E49</f>
        <v>328252.63999999996</v>
      </c>
      <c r="D2" s="24"/>
      <c r="E2" s="24" t="s">
        <v>71</v>
      </c>
      <c r="F2" s="24">
        <f>D49</f>
        <v>43239</v>
      </c>
      <c r="G2" s="24"/>
      <c r="H2" s="22" t="s">
        <v>72</v>
      </c>
      <c r="I2" s="35">
        <f>C2/F2</f>
        <v>7.591587224496402</v>
      </c>
      <c r="J2" s="25"/>
      <c r="K2" s="53" t="s">
        <v>95</v>
      </c>
      <c r="L2" s="30"/>
      <c r="M2" s="24"/>
    </row>
    <row r="3" spans="1:16" ht="12.75">
      <c r="A3" s="22" t="s">
        <v>67</v>
      </c>
      <c r="B3" s="22" t="s">
        <v>68</v>
      </c>
      <c r="C3" s="28">
        <v>326418</v>
      </c>
      <c r="D3" s="24"/>
      <c r="E3" s="24" t="s">
        <v>71</v>
      </c>
      <c r="F3" s="29">
        <v>39538</v>
      </c>
      <c r="G3" s="24"/>
      <c r="H3" s="22" t="s">
        <v>72</v>
      </c>
      <c r="I3" s="35">
        <f>C3/F3</f>
        <v>8.255804542465476</v>
      </c>
      <c r="J3" s="24"/>
      <c r="K3" s="24"/>
      <c r="L3" s="24"/>
      <c r="M3" s="22"/>
      <c r="P3" s="9"/>
    </row>
    <row r="4" spans="1:18" ht="13.5" thickBot="1">
      <c r="A4" s="32" t="s">
        <v>73</v>
      </c>
      <c r="B4" s="26"/>
      <c r="C4" s="33">
        <f>(C2-C3)/C3</f>
        <v>0.0056205233779998524</v>
      </c>
      <c r="D4" s="27"/>
      <c r="E4" s="27"/>
      <c r="F4" s="33">
        <f>(F2-F3)/F3</f>
        <v>0.09360615104456473</v>
      </c>
      <c r="G4" s="27"/>
      <c r="H4" s="26"/>
      <c r="I4" s="36">
        <f>(I2-I3)/I3</f>
        <v>-0.08045458374802017</v>
      </c>
      <c r="J4" s="24"/>
      <c r="K4" s="24"/>
      <c r="L4" s="24"/>
      <c r="M4" s="2"/>
      <c r="O4" s="9"/>
      <c r="P4" s="9"/>
      <c r="Q4" s="2" t="s">
        <v>75</v>
      </c>
      <c r="R4" s="2" t="s">
        <v>74</v>
      </c>
    </row>
    <row r="5" spans="3:16" ht="13.5" thickTop="1">
      <c r="C5" s="12"/>
      <c r="J5" s="6"/>
      <c r="O5" s="9" t="s">
        <v>55</v>
      </c>
      <c r="P5" s="9"/>
    </row>
    <row r="6" spans="3:21" ht="12.75">
      <c r="C6" s="4" t="s">
        <v>27</v>
      </c>
      <c r="D6" s="12" t="s">
        <v>28</v>
      </c>
      <c r="E6" s="12" t="s">
        <v>29</v>
      </c>
      <c r="F6" s="12" t="s">
        <v>41</v>
      </c>
      <c r="G6" s="12" t="s">
        <v>32</v>
      </c>
      <c r="H6" s="12" t="s">
        <v>24</v>
      </c>
      <c r="I6" s="4"/>
      <c r="K6" s="12" t="s">
        <v>35</v>
      </c>
      <c r="L6" s="12" t="s">
        <v>37</v>
      </c>
      <c r="M6" s="17" t="s">
        <v>80</v>
      </c>
      <c r="N6" s="17" t="s">
        <v>64</v>
      </c>
      <c r="O6" s="9" t="s">
        <v>54</v>
      </c>
      <c r="P6" s="4"/>
      <c r="R6" s="2">
        <v>2007</v>
      </c>
      <c r="S6" s="2">
        <v>2006</v>
      </c>
      <c r="T6" s="4">
        <v>2005</v>
      </c>
      <c r="U6" s="2">
        <v>2003</v>
      </c>
    </row>
    <row r="7" spans="3:16" ht="12.75">
      <c r="C7" s="4" t="s">
        <v>26</v>
      </c>
      <c r="D7" s="12" t="s">
        <v>46</v>
      </c>
      <c r="E7" s="12" t="s">
        <v>30</v>
      </c>
      <c r="F7" s="12" t="s">
        <v>31</v>
      </c>
      <c r="G7" s="12" t="s">
        <v>33</v>
      </c>
      <c r="H7" s="12" t="s">
        <v>34</v>
      </c>
      <c r="I7" s="4"/>
      <c r="K7" s="12" t="s">
        <v>36</v>
      </c>
      <c r="L7" s="12" t="s">
        <v>38</v>
      </c>
      <c r="M7" s="17" t="s">
        <v>86</v>
      </c>
      <c r="N7" s="17" t="s">
        <v>65</v>
      </c>
      <c r="O7" s="4"/>
      <c r="P7" s="7"/>
    </row>
    <row r="8" spans="1:14" ht="14.25">
      <c r="A8" s="2" t="s">
        <v>0</v>
      </c>
      <c r="B8" s="4" t="s">
        <v>40</v>
      </c>
      <c r="J8" s="2" t="s">
        <v>0</v>
      </c>
      <c r="L8" s="11" t="s">
        <v>4</v>
      </c>
      <c r="N8" s="17" t="s">
        <v>66</v>
      </c>
    </row>
    <row r="9" spans="1:16" ht="12.75">
      <c r="A9" s="3" t="s">
        <v>1</v>
      </c>
      <c r="B9" s="14">
        <v>132</v>
      </c>
      <c r="C9" s="1">
        <v>4</v>
      </c>
      <c r="F9" s="11">
        <f>(E10)*(0.4)*(C9)/(C9+C10+C11)</f>
        <v>5180.241599999999</v>
      </c>
      <c r="G9" s="12">
        <f>(E10)*(0.6)*(B9)/(B9+B10+B11)</f>
        <v>6105.284742857142</v>
      </c>
      <c r="H9" s="11">
        <f>F47</f>
        <v>1433.8096428571428</v>
      </c>
      <c r="I9" s="5"/>
      <c r="J9" s="3" t="s">
        <v>1</v>
      </c>
      <c r="K9" s="11">
        <f>SUM(F9:H9)</f>
        <v>12719.335985714284</v>
      </c>
      <c r="L9" s="11">
        <f>'A conto'!B5</f>
        <v>13937.716384209005</v>
      </c>
      <c r="M9" s="11">
        <f>K9-L9</f>
        <v>-1218.3803984947208</v>
      </c>
      <c r="N9" s="11">
        <f>((K9-H9)/6)*(1+I$4)</f>
        <v>1729.5923364275423</v>
      </c>
      <c r="O9" s="8"/>
      <c r="P9" s="5"/>
    </row>
    <row r="10" spans="1:21" ht="12.75">
      <c r="A10" s="3" t="s">
        <v>2</v>
      </c>
      <c r="B10" s="14">
        <v>132</v>
      </c>
      <c r="C10" s="1">
        <v>1</v>
      </c>
      <c r="D10" s="13">
        <v>4265</v>
      </c>
      <c r="E10" s="13">
        <v>32376.51</v>
      </c>
      <c r="F10" s="11">
        <f>(E10)*(0.4)*(C10)/(C9+C10+C11)</f>
        <v>1295.0603999999998</v>
      </c>
      <c r="G10" s="12">
        <f>(E10)*(0.6)*(B10)/(B9+B10+B11)</f>
        <v>6105.284742857142</v>
      </c>
      <c r="H10" s="11">
        <f>F47</f>
        <v>1433.8096428571428</v>
      </c>
      <c r="I10" s="5"/>
      <c r="J10" s="3" t="s">
        <v>2</v>
      </c>
      <c r="K10" s="11">
        <f>SUM(F10:H10)</f>
        <v>8834.154785714285</v>
      </c>
      <c r="L10" s="11">
        <f>'A conto'!B6</f>
        <v>9719.689205088438</v>
      </c>
      <c r="M10" s="11">
        <f aca="true" t="shared" si="0" ref="M10:M43">K10-L10</f>
        <v>-885.534419374153</v>
      </c>
      <c r="N10" s="11">
        <f aca="true" t="shared" si="1" ref="N10:N44">((K10-H10)/6)*(1+I$4)</f>
        <v>1134.1589091328149</v>
      </c>
      <c r="O10" s="8">
        <f>D10/SUM(B9:B11)</f>
        <v>10.154761904761905</v>
      </c>
      <c r="P10" s="8"/>
      <c r="Q10" s="11">
        <f>(D10-R10)</f>
        <v>-32</v>
      </c>
      <c r="R10" s="11">
        <v>4297</v>
      </c>
      <c r="S10" s="11">
        <v>4297</v>
      </c>
      <c r="T10" s="11">
        <v>4197</v>
      </c>
      <c r="U10" s="11">
        <v>3579</v>
      </c>
    </row>
    <row r="11" spans="1:21" ht="12.75">
      <c r="A11" s="3" t="s">
        <v>3</v>
      </c>
      <c r="B11" s="14">
        <v>156</v>
      </c>
      <c r="C11" s="1">
        <v>5</v>
      </c>
      <c r="D11" s="13"/>
      <c r="E11" s="31"/>
      <c r="F11" s="11">
        <f>(E10)*(0.4)*(C11)/(C9+C10+C11)</f>
        <v>6475.302</v>
      </c>
      <c r="G11" s="12">
        <f>(E10)*(0.6)*(B11)/(B9+B10+B11)</f>
        <v>7215.336514285714</v>
      </c>
      <c r="H11" s="11">
        <f>F47</f>
        <v>1433.8096428571428</v>
      </c>
      <c r="I11" s="5"/>
      <c r="J11" s="3" t="s">
        <v>3</v>
      </c>
      <c r="K11" s="11">
        <f>SUM(F11:H11)</f>
        <v>15124.448157142857</v>
      </c>
      <c r="L11" s="11">
        <f>'A conto'!B7</f>
        <v>16547.923685569356</v>
      </c>
      <c r="M11" s="11">
        <f t="shared" si="0"/>
        <v>-1423.4755284264993</v>
      </c>
      <c r="N11" s="11">
        <f t="shared" si="1"/>
        <v>2098.193981895707</v>
      </c>
      <c r="O11" s="8"/>
      <c r="P11" s="8"/>
      <c r="R11" s="11"/>
      <c r="S11" s="11"/>
      <c r="T11" s="11"/>
      <c r="U11" s="11"/>
    </row>
    <row r="12" spans="1:21" ht="12.75">
      <c r="A12" s="3" t="s">
        <v>4</v>
      </c>
      <c r="B12" s="14"/>
      <c r="C12" s="1"/>
      <c r="D12" s="13"/>
      <c r="E12" s="13"/>
      <c r="I12" s="5"/>
      <c r="J12" s="3" t="s">
        <v>4</v>
      </c>
      <c r="O12" s="8"/>
      <c r="P12" s="8"/>
      <c r="R12" s="11"/>
      <c r="S12" s="11"/>
      <c r="T12" s="11"/>
      <c r="U12" s="11"/>
    </row>
    <row r="13" spans="1:21" ht="12.75">
      <c r="A13" s="3" t="s">
        <v>5</v>
      </c>
      <c r="B13" s="14">
        <v>132</v>
      </c>
      <c r="C13" s="1">
        <v>2.32</v>
      </c>
      <c r="D13" s="13"/>
      <c r="E13" s="13"/>
      <c r="F13" s="11">
        <f>(E14-500)*(0.3)*(C13)/(C13+C14+C15)</f>
        <v>2372.2900673076915</v>
      </c>
      <c r="G13" s="11">
        <f>(E14-500)*(0.7)*(B13)/(B13+B14+B15)+500</f>
        <v>7050.79271</v>
      </c>
      <c r="H13" s="11">
        <f>F47</f>
        <v>1433.8096428571428</v>
      </c>
      <c r="I13" s="5"/>
      <c r="J13" s="3" t="s">
        <v>5</v>
      </c>
      <c r="K13" s="11">
        <f>SUM(F13:H13)</f>
        <v>10856.892420164833</v>
      </c>
      <c r="L13" s="11">
        <f>'A conto'!B8</f>
        <v>14369.624174152475</v>
      </c>
      <c r="M13" s="11">
        <f t="shared" si="0"/>
        <v>-3512.731753987642</v>
      </c>
      <c r="N13" s="11">
        <f t="shared" si="1"/>
        <v>1444.1587624727106</v>
      </c>
      <c r="O13" s="8"/>
      <c r="P13" s="8"/>
      <c r="R13" s="11"/>
      <c r="S13" s="11"/>
      <c r="T13" s="11"/>
      <c r="U13" s="11"/>
    </row>
    <row r="14" spans="1:21" ht="12.75">
      <c r="A14" s="3" t="s">
        <v>6</v>
      </c>
      <c r="B14" s="14">
        <v>145</v>
      </c>
      <c r="C14" s="1">
        <v>2</v>
      </c>
      <c r="D14" s="13">
        <v>3799</v>
      </c>
      <c r="E14" s="13">
        <v>28858.41</v>
      </c>
      <c r="F14" s="11">
        <f>(E14-500)*(0.3)*(C14)/(C13+C14+C15)</f>
        <v>2045.077644230769</v>
      </c>
      <c r="G14" s="11">
        <f>(E14-500)*(0.7)*(B14)/(B13+B14+B15)</f>
        <v>7195.946537499999</v>
      </c>
      <c r="H14" s="11">
        <f>F47</f>
        <v>1433.8096428571428</v>
      </c>
      <c r="I14" s="5"/>
      <c r="J14" s="3" t="s">
        <v>6</v>
      </c>
      <c r="K14" s="11">
        <f>SUM(F14:H14)</f>
        <v>10674.833824587911</v>
      </c>
      <c r="L14" s="11">
        <f>'A conto'!B9</f>
        <v>12432.035187428713</v>
      </c>
      <c r="M14" s="11">
        <f t="shared" si="0"/>
        <v>-1757.2013628408022</v>
      </c>
      <c r="N14" s="11">
        <f t="shared" si="1"/>
        <v>1416.256904630705</v>
      </c>
      <c r="O14" s="8">
        <f>D14/SUM(B13:B15)</f>
        <v>9.4975</v>
      </c>
      <c r="P14" s="8"/>
      <c r="Q14" s="11">
        <f>(D14-R14)</f>
        <v>-687</v>
      </c>
      <c r="R14" s="11">
        <v>4486</v>
      </c>
      <c r="S14" s="11">
        <v>4486</v>
      </c>
      <c r="T14" s="11">
        <v>4627</v>
      </c>
      <c r="U14" s="11">
        <v>4038</v>
      </c>
    </row>
    <row r="15" spans="1:21" ht="12.75">
      <c r="A15" s="3" t="s">
        <v>7</v>
      </c>
      <c r="B15" s="14">
        <v>123</v>
      </c>
      <c r="C15" s="1">
        <v>4</v>
      </c>
      <c r="D15" s="13"/>
      <c r="E15" s="13"/>
      <c r="F15" s="11">
        <f>(E14-500)*(0.3)*(C15)/(C13+C14+C15)</f>
        <v>4090.155288461538</v>
      </c>
      <c r="G15" s="11">
        <f>(E14-500)*(0.7)*(B15)/(B13+B14+B15)</f>
        <v>6104.147752499999</v>
      </c>
      <c r="H15" s="11">
        <f>F47</f>
        <v>1433.8096428571428</v>
      </c>
      <c r="I15" s="5"/>
      <c r="J15" s="3" t="s">
        <v>7</v>
      </c>
      <c r="K15" s="11">
        <f>SUM(F15:H15)</f>
        <v>11628.11268381868</v>
      </c>
      <c r="L15" s="11">
        <f>'A conto'!B11</f>
        <v>13722.261884203115</v>
      </c>
      <c r="M15" s="11">
        <f t="shared" si="0"/>
        <v>-2094.149200384436</v>
      </c>
      <c r="N15" s="11">
        <f t="shared" si="1"/>
        <v>1562.3541055333</v>
      </c>
      <c r="O15" s="8"/>
      <c r="P15" s="5"/>
      <c r="R15" s="11"/>
      <c r="S15" s="11"/>
      <c r="T15" s="11"/>
      <c r="U15" s="11"/>
    </row>
    <row r="16" spans="1:21" ht="12.75">
      <c r="A16" s="3" t="s">
        <v>4</v>
      </c>
      <c r="B16" s="14"/>
      <c r="C16" s="1"/>
      <c r="D16" s="13"/>
      <c r="E16" s="13"/>
      <c r="I16" s="5"/>
      <c r="J16" s="3" t="s">
        <v>4</v>
      </c>
      <c r="O16" s="8"/>
      <c r="P16" s="5"/>
      <c r="R16" s="11"/>
      <c r="S16" s="11"/>
      <c r="T16" s="11"/>
      <c r="U16" s="11"/>
    </row>
    <row r="17" spans="1:21" ht="12.75">
      <c r="A17" s="3" t="s">
        <v>8</v>
      </c>
      <c r="B17" s="14">
        <v>145</v>
      </c>
      <c r="C17" s="1">
        <v>2</v>
      </c>
      <c r="D17" s="13">
        <v>3009</v>
      </c>
      <c r="E17" s="13">
        <v>22880.65</v>
      </c>
      <c r="F17" s="11">
        <f>0.4*(E17)/(C17+C18)*C17</f>
        <v>3050.7533333333336</v>
      </c>
      <c r="G17" s="11">
        <f>0.6*(E17)*(B17)/(B17+B18)</f>
        <v>6864.195000000001</v>
      </c>
      <c r="H17" s="11">
        <f>F47</f>
        <v>1433.8096428571428</v>
      </c>
      <c r="I17" s="5"/>
      <c r="J17" s="3" t="s">
        <v>4</v>
      </c>
      <c r="K17" s="11">
        <f>SUM(F17:H17)</f>
        <v>11348.757976190476</v>
      </c>
      <c r="L17" s="11">
        <f>'A conto'!B12</f>
        <v>13739.797343502338</v>
      </c>
      <c r="M17" s="11">
        <f t="shared" si="0"/>
        <v>-2391.0393673118615</v>
      </c>
      <c r="N17" s="11">
        <f t="shared" si="1"/>
        <v>1519.5408820486457</v>
      </c>
      <c r="O17" s="8">
        <f>D17/SUM(B16:B18)</f>
        <v>10.375862068965517</v>
      </c>
      <c r="P17" s="5"/>
      <c r="Q17" s="11">
        <f>(D17-R17)</f>
        <v>-244</v>
      </c>
      <c r="R17" s="11">
        <v>3253</v>
      </c>
      <c r="S17" s="11">
        <v>3253</v>
      </c>
      <c r="T17" s="11">
        <v>3212</v>
      </c>
      <c r="U17" s="11">
        <v>3112</v>
      </c>
    </row>
    <row r="18" spans="1:21" ht="12.75">
      <c r="A18" s="3" t="s">
        <v>9</v>
      </c>
      <c r="B18" s="14">
        <v>145</v>
      </c>
      <c r="C18" s="1">
        <v>4</v>
      </c>
      <c r="D18" s="13"/>
      <c r="E18" s="13"/>
      <c r="F18" s="11">
        <f>0.4*(E17)/(C17+C18)*C18</f>
        <v>6101.506666666667</v>
      </c>
      <c r="G18" s="11">
        <f>0.6*(E17)*(B18)/(B17+B18)</f>
        <v>6864.195000000001</v>
      </c>
      <c r="H18" s="11">
        <f>F47</f>
        <v>1433.8096428571428</v>
      </c>
      <c r="I18" s="5"/>
      <c r="J18" s="3" t="s">
        <v>9</v>
      </c>
      <c r="K18" s="11">
        <f>SUM(F18:H18)</f>
        <v>14399.51130952381</v>
      </c>
      <c r="L18" s="11">
        <f>'A conto'!B13</f>
        <v>17448.01504418387</v>
      </c>
      <c r="M18" s="11">
        <f t="shared" si="0"/>
        <v>-3048.50373466006</v>
      </c>
      <c r="N18" s="11">
        <f t="shared" si="1"/>
        <v>1987.0919226789983</v>
      </c>
      <c r="O18" s="8"/>
      <c r="P18" s="8"/>
      <c r="R18" s="11"/>
      <c r="S18" s="11"/>
      <c r="T18" s="11"/>
      <c r="U18" s="11"/>
    </row>
    <row r="19" spans="1:21" ht="12.75">
      <c r="A19" s="3" t="s">
        <v>4</v>
      </c>
      <c r="B19" s="14"/>
      <c r="C19" s="1"/>
      <c r="D19" s="13"/>
      <c r="E19" s="13"/>
      <c r="I19" s="5"/>
      <c r="J19" s="3" t="s">
        <v>4</v>
      </c>
      <c r="O19" s="8"/>
      <c r="P19" s="8"/>
      <c r="R19" s="11"/>
      <c r="S19" s="11"/>
      <c r="T19" s="11"/>
      <c r="U19" s="11"/>
    </row>
    <row r="20" spans="1:21" ht="12.75">
      <c r="A20" s="3" t="s">
        <v>10</v>
      </c>
      <c r="B20" s="14">
        <v>145</v>
      </c>
      <c r="C20" s="1">
        <v>4</v>
      </c>
      <c r="D20" s="13"/>
      <c r="E20" s="13"/>
      <c r="F20" s="11">
        <f>E$21*B$56*(C20)/(C$20+C$21+C$22)</f>
        <v>2320.4112</v>
      </c>
      <c r="G20" s="11">
        <f>(E$21)*B$55*(B20)/(B$20+B$21+B$22)</f>
        <v>7773.6524502369675</v>
      </c>
      <c r="H20" s="11">
        <f>F47</f>
        <v>1433.8096428571428</v>
      </c>
      <c r="I20" s="5"/>
      <c r="J20" s="3" t="s">
        <v>10</v>
      </c>
      <c r="K20" s="11">
        <f>SUM(G20:H20)</f>
        <v>9207.462093094111</v>
      </c>
      <c r="L20" s="11">
        <f>'A conto'!B14</f>
        <v>10691.795633097077</v>
      </c>
      <c r="M20" s="11">
        <f t="shared" si="0"/>
        <v>-1484.3335400029664</v>
      </c>
      <c r="N20" s="11">
        <f t="shared" si="1"/>
        <v>1191.371079691896</v>
      </c>
      <c r="O20" s="8"/>
      <c r="P20" s="8"/>
      <c r="R20" s="11"/>
      <c r="S20" s="11"/>
      <c r="T20" s="11"/>
      <c r="U20" s="11"/>
    </row>
    <row r="21" spans="1:21" ht="12.75">
      <c r="A21" s="3" t="s">
        <v>11</v>
      </c>
      <c r="B21" s="14">
        <v>132</v>
      </c>
      <c r="C21" s="1">
        <v>4</v>
      </c>
      <c r="D21" s="13">
        <v>3818</v>
      </c>
      <c r="E21" s="13">
        <v>29005.14</v>
      </c>
      <c r="F21" s="11">
        <f>E$21*B$56*(C21)/(C$20+C$21+C$22)</f>
        <v>2320.4112</v>
      </c>
      <c r="G21" s="11">
        <f>(E$21)*B$55*(B21)/(B$20+B$21+B$22)</f>
        <v>7076.704299526066</v>
      </c>
      <c r="H21" s="11">
        <f>F47</f>
        <v>1433.8096428571428</v>
      </c>
      <c r="I21" s="5"/>
      <c r="J21" s="3" t="s">
        <v>11</v>
      </c>
      <c r="K21" s="11">
        <f>SUM(G21:H21)</f>
        <v>8510.51394238321</v>
      </c>
      <c r="L21" s="11">
        <f>'A conto'!B15</f>
        <v>9882.204766762412</v>
      </c>
      <c r="M21" s="11">
        <f>K21-L21</f>
        <v>-1371.6908243792022</v>
      </c>
      <c r="N21" s="11">
        <f t="shared" si="1"/>
        <v>1084.558500133312</v>
      </c>
      <c r="O21" s="8">
        <f>D21/SUM(B20:B22)</f>
        <v>9.04739336492891</v>
      </c>
      <c r="P21" s="8"/>
      <c r="Q21" s="11">
        <f>(D21-R21)</f>
        <v>-115</v>
      </c>
      <c r="R21" s="11">
        <v>3933</v>
      </c>
      <c r="S21" s="11">
        <v>3933</v>
      </c>
      <c r="T21" s="11">
        <v>4750</v>
      </c>
      <c r="U21" s="11">
        <v>3748</v>
      </c>
    </row>
    <row r="22" spans="1:21" ht="12.75">
      <c r="A22" s="3" t="s">
        <v>12</v>
      </c>
      <c r="B22" s="14">
        <v>145</v>
      </c>
      <c r="C22" s="1">
        <v>3</v>
      </c>
      <c r="D22" s="13"/>
      <c r="E22" s="13"/>
      <c r="F22" s="11">
        <f>E$21*B$56*(C22)/(C$20+C$21+C$22)</f>
        <v>1740.3084000000001</v>
      </c>
      <c r="G22" s="11">
        <f>(E$21)*B$55*(B22)/(B$20+B$21+B$22)</f>
        <v>7773.6524502369675</v>
      </c>
      <c r="H22" s="11">
        <f>F47</f>
        <v>1433.8096428571428</v>
      </c>
      <c r="I22" s="5"/>
      <c r="J22" s="3" t="s">
        <v>12</v>
      </c>
      <c r="K22" s="11">
        <f>SUM(G22:H22)</f>
        <v>9207.462093094111</v>
      </c>
      <c r="L22" s="11">
        <f>'A conto'!B16</f>
        <v>10691.795633097077</v>
      </c>
      <c r="M22" s="11">
        <f t="shared" si="0"/>
        <v>-1484.3335400029664</v>
      </c>
      <c r="N22" s="11">
        <f t="shared" si="1"/>
        <v>1191.371079691896</v>
      </c>
      <c r="O22" s="8"/>
      <c r="P22" s="8"/>
      <c r="R22" s="11"/>
      <c r="S22" s="11"/>
      <c r="T22" s="11"/>
      <c r="U22" s="11"/>
    </row>
    <row r="23" spans="1:21" ht="12.75">
      <c r="A23" s="3" t="s">
        <v>4</v>
      </c>
      <c r="B23" s="14"/>
      <c r="C23" s="1"/>
      <c r="D23" s="13"/>
      <c r="E23" s="13"/>
      <c r="I23" s="5"/>
      <c r="J23" s="3" t="s">
        <v>4</v>
      </c>
      <c r="O23" s="8"/>
      <c r="P23" s="8"/>
      <c r="R23" s="11"/>
      <c r="S23" s="11"/>
      <c r="T23" s="11"/>
      <c r="U23" s="11"/>
    </row>
    <row r="24" spans="1:21" ht="12.75">
      <c r="A24" s="3">
        <v>12</v>
      </c>
      <c r="B24" s="14">
        <v>190</v>
      </c>
      <c r="C24" s="1">
        <v>4</v>
      </c>
      <c r="D24" s="13"/>
      <c r="E24" s="13"/>
      <c r="G24" s="11">
        <f>(E25)*0.395</f>
        <v>13745.668200000002</v>
      </c>
      <c r="H24" s="11">
        <f>F47</f>
        <v>1433.8096428571428</v>
      </c>
      <c r="I24" s="5"/>
      <c r="J24" s="3">
        <v>12</v>
      </c>
      <c r="K24" s="11">
        <f>SUM(F24:H24)</f>
        <v>15179.477842857144</v>
      </c>
      <c r="L24" s="11">
        <f>'A conto'!B17</f>
        <v>16674.19489651762</v>
      </c>
      <c r="M24" s="11">
        <f t="shared" si="0"/>
        <v>-1494.7170536604754</v>
      </c>
      <c r="N24" s="11">
        <f t="shared" si="1"/>
        <v>2106.6276977717675</v>
      </c>
      <c r="O24" s="8"/>
      <c r="P24" s="8"/>
      <c r="R24" s="11"/>
      <c r="S24" s="11"/>
      <c r="T24" s="11"/>
      <c r="U24" s="11"/>
    </row>
    <row r="25" spans="1:21" ht="12.75">
      <c r="A25" s="3" t="s">
        <v>56</v>
      </c>
      <c r="B25" s="14">
        <v>132</v>
      </c>
      <c r="C25" s="1">
        <v>1</v>
      </c>
      <c r="D25" s="13">
        <v>4584</v>
      </c>
      <c r="E25" s="13">
        <v>34799.16</v>
      </c>
      <c r="G25" s="11">
        <f>(E25)*0.203</f>
        <v>7064.229480000001</v>
      </c>
      <c r="H25" s="11">
        <f>F47</f>
        <v>1433.8096428571428</v>
      </c>
      <c r="I25" s="5"/>
      <c r="J25" s="3">
        <v>13</v>
      </c>
      <c r="K25" s="11">
        <f>SUM(F25:H25)</f>
        <v>8498.039122857144</v>
      </c>
      <c r="L25" s="11">
        <f>'A conto'!B18</f>
        <v>9389.683060051266</v>
      </c>
      <c r="M25" s="11">
        <f t="shared" si="0"/>
        <v>-891.6439371941215</v>
      </c>
      <c r="N25" s="11">
        <f t="shared" si="1"/>
        <v>1082.6466396143514</v>
      </c>
      <c r="O25" s="8">
        <f>D25/SUM(B24:B26)</f>
        <v>9.451546391752577</v>
      </c>
      <c r="P25" s="8"/>
      <c r="Q25" s="11">
        <f>(D25-R25)</f>
        <v>-34</v>
      </c>
      <c r="R25" s="11">
        <v>4618</v>
      </c>
      <c r="S25" s="11">
        <v>4618</v>
      </c>
      <c r="T25" s="11">
        <v>5281</v>
      </c>
      <c r="U25" s="11">
        <v>4639</v>
      </c>
    </row>
    <row r="26" spans="1:21" ht="12.75">
      <c r="A26" s="3">
        <v>14</v>
      </c>
      <c r="B26" s="14">
        <v>163</v>
      </c>
      <c r="C26" s="1">
        <v>5</v>
      </c>
      <c r="D26" s="13"/>
      <c r="E26" s="13"/>
      <c r="G26" s="11">
        <f>(E25)*0.402</f>
        <v>13989.262320000002</v>
      </c>
      <c r="H26" s="11">
        <f>F47</f>
        <v>1433.8096428571428</v>
      </c>
      <c r="I26" s="5"/>
      <c r="J26" s="3">
        <v>14</v>
      </c>
      <c r="K26" s="11">
        <f>SUM(F26:H26)</f>
        <v>15423.071962857144</v>
      </c>
      <c r="L26" s="11">
        <f>'A conto'!B19</f>
        <v>16938.47397388879</v>
      </c>
      <c r="M26" s="11">
        <f t="shared" si="0"/>
        <v>-1515.402011031647</v>
      </c>
      <c r="N26" s="11">
        <f t="shared" si="1"/>
        <v>2143.9603405170897</v>
      </c>
      <c r="O26" s="8"/>
      <c r="P26" s="8"/>
      <c r="R26" s="11"/>
      <c r="S26" s="11"/>
      <c r="T26" s="11"/>
      <c r="U26" s="11"/>
    </row>
    <row r="27" spans="1:21" ht="12.75">
      <c r="A27" s="3"/>
      <c r="B27" s="14"/>
      <c r="C27" s="1"/>
      <c r="D27" s="13"/>
      <c r="E27" s="13"/>
      <c r="I27" s="5"/>
      <c r="J27" s="3"/>
      <c r="O27" s="8"/>
      <c r="P27" s="8"/>
      <c r="R27" s="11"/>
      <c r="S27" s="11"/>
      <c r="T27" s="11"/>
      <c r="U27" s="11"/>
    </row>
    <row r="28" spans="1:21" ht="12.75">
      <c r="A28" s="3" t="s">
        <v>13</v>
      </c>
      <c r="B28" s="14">
        <v>145</v>
      </c>
      <c r="C28" s="1">
        <v>2</v>
      </c>
      <c r="D28" s="13"/>
      <c r="E28" s="13"/>
      <c r="F28" s="11">
        <f>E29*(0.4)*(C28)/(C28+C29+C30)</f>
        <v>3972.0040000000004</v>
      </c>
      <c r="G28" s="11">
        <f>(E29)*(0.6)*(B28)/(B28+B29+B30)</f>
        <v>6305.918759124087</v>
      </c>
      <c r="H28" s="11">
        <f>F47</f>
        <v>1433.8096428571428</v>
      </c>
      <c r="I28" s="5"/>
      <c r="J28" s="3" t="s">
        <v>13</v>
      </c>
      <c r="K28" s="11">
        <f>SUM(F28:H28)</f>
        <v>11711.73240198123</v>
      </c>
      <c r="L28" s="11">
        <f>'A conto'!B20</f>
        <v>11664.193101319004</v>
      </c>
      <c r="M28" s="11">
        <f>K28-L28</f>
        <v>47.53930066222529</v>
      </c>
      <c r="N28" s="11">
        <f t="shared" si="1"/>
        <v>1575.1694602907426</v>
      </c>
      <c r="O28" s="8"/>
      <c r="P28" s="8"/>
      <c r="R28" s="11"/>
      <c r="S28" s="11"/>
      <c r="T28" s="11"/>
      <c r="U28" s="11"/>
    </row>
    <row r="29" spans="1:21" ht="12.75">
      <c r="A29" s="3" t="s">
        <v>23</v>
      </c>
      <c r="B29" s="14">
        <v>132</v>
      </c>
      <c r="C29" s="1">
        <v>2</v>
      </c>
      <c r="D29" s="13">
        <v>3922</v>
      </c>
      <c r="E29" s="13">
        <v>29790.03</v>
      </c>
      <c r="F29" s="11">
        <f>E29*(0.4)*(C29)/(C28+C29+C30)</f>
        <v>3972.0040000000004</v>
      </c>
      <c r="G29" s="11">
        <f>(E29)*(0.6)*(B29)/(B28+B29+B30)</f>
        <v>5740.560525547446</v>
      </c>
      <c r="H29" s="11">
        <f>F47</f>
        <v>1433.8096428571428</v>
      </c>
      <c r="I29" s="5"/>
      <c r="J29" s="3" t="s">
        <v>23</v>
      </c>
      <c r="K29" s="11">
        <f>SUM(F29:H29)</f>
        <v>11146.374168404589</v>
      </c>
      <c r="L29" s="11">
        <f>'A conto'!B21</f>
        <v>11093.526659303181</v>
      </c>
      <c r="M29" s="11">
        <f t="shared" si="0"/>
        <v>52.84750910140792</v>
      </c>
      <c r="N29" s="11">
        <f t="shared" si="1"/>
        <v>1488.5240315864567</v>
      </c>
      <c r="O29" s="8">
        <f>D29/SUM(B28:B30)</f>
        <v>9.54257907542579</v>
      </c>
      <c r="P29" s="8"/>
      <c r="Q29" s="11">
        <f>(D29-R29)</f>
        <v>-23</v>
      </c>
      <c r="R29" s="11">
        <v>3945</v>
      </c>
      <c r="S29" s="11">
        <v>3945</v>
      </c>
      <c r="T29" s="11">
        <v>4280</v>
      </c>
      <c r="U29" s="11">
        <v>3811</v>
      </c>
    </row>
    <row r="30" spans="1:21" ht="12.75">
      <c r="A30" s="3" t="s">
        <v>14</v>
      </c>
      <c r="B30" s="14">
        <v>134</v>
      </c>
      <c r="C30" s="1">
        <v>2</v>
      </c>
      <c r="D30" s="13"/>
      <c r="E30" s="13"/>
      <c r="F30" s="11">
        <f>E29*(0.4)*(C30)/(C28+C29+C30)</f>
        <v>3972.0040000000004</v>
      </c>
      <c r="G30" s="11">
        <f>(E29)*(0.6)*(B30)/(B28+B29+B30)</f>
        <v>5827.538715328467</v>
      </c>
      <c r="H30" s="11">
        <f>F47</f>
        <v>1433.8096428571428</v>
      </c>
      <c r="I30" s="5"/>
      <c r="J30" s="3" t="s">
        <v>14</v>
      </c>
      <c r="K30" s="11">
        <f>SUM(F30:H30)</f>
        <v>11233.35235818561</v>
      </c>
      <c r="L30" s="11">
        <f>'A conto'!B22</f>
        <v>12539.93528676596</v>
      </c>
      <c r="M30" s="11">
        <f t="shared" si="0"/>
        <v>-1306.5829285803502</v>
      </c>
      <c r="N30" s="11">
        <f t="shared" si="1"/>
        <v>1501.854097540962</v>
      </c>
      <c r="O30" s="8"/>
      <c r="P30" s="8"/>
      <c r="R30" s="11"/>
      <c r="S30" s="11"/>
      <c r="T30" s="11"/>
      <c r="U30" s="11"/>
    </row>
    <row r="31" spans="1:21" ht="12.75">
      <c r="A31" s="3"/>
      <c r="B31" s="14"/>
      <c r="C31" s="1"/>
      <c r="D31" s="13"/>
      <c r="E31" s="13"/>
      <c r="I31" s="5"/>
      <c r="J31" s="3"/>
      <c r="O31" s="8"/>
      <c r="P31" s="5"/>
      <c r="R31" s="11"/>
      <c r="S31" s="11"/>
      <c r="T31" s="11"/>
      <c r="U31" s="11"/>
    </row>
    <row r="32" spans="1:21" ht="12.75">
      <c r="A32" s="3" t="s">
        <v>15</v>
      </c>
      <c r="B32" s="14">
        <v>132.226221079691</v>
      </c>
      <c r="C32" s="1">
        <v>3</v>
      </c>
      <c r="D32" s="13"/>
      <c r="E32" s="13"/>
      <c r="F32" s="11">
        <f>E33*(0.4)*(C32)/(C32+C33+C34)</f>
        <v>3637.1200000000003</v>
      </c>
      <c r="G32" s="11">
        <f>(E33)*(0.6)*(B32)/(B32+B33+B34)</f>
        <v>5285.594084640552</v>
      </c>
      <c r="H32" s="11">
        <f>F47</f>
        <v>1433.8096428571428</v>
      </c>
      <c r="I32" s="5"/>
      <c r="J32" s="3" t="s">
        <v>15</v>
      </c>
      <c r="K32" s="11">
        <f>SUM(F32:H32)</f>
        <v>10356.523727497695</v>
      </c>
      <c r="L32" s="11">
        <f>'A conto'!B23</f>
        <v>12221.793267764664</v>
      </c>
      <c r="M32" s="11">
        <f>K32-L32</f>
        <v>-1865.2695402669688</v>
      </c>
      <c r="N32" s="11">
        <f t="shared" si="1"/>
        <v>1367.4734728430335</v>
      </c>
      <c r="O32" s="8"/>
      <c r="P32" s="5"/>
      <c r="R32" s="11"/>
      <c r="S32" s="11"/>
      <c r="T32" s="11"/>
      <c r="U32" s="11"/>
    </row>
    <row r="33" spans="1:21" ht="12.75">
      <c r="A33" s="3" t="s">
        <v>16</v>
      </c>
      <c r="B33" s="14">
        <v>132.217223650386</v>
      </c>
      <c r="C33" s="1">
        <v>2</v>
      </c>
      <c r="D33" s="13">
        <v>3590</v>
      </c>
      <c r="E33" s="13">
        <v>27278.4</v>
      </c>
      <c r="F33" s="11">
        <f>E33*(0.4)*(C33)/(C32+C33+C34)</f>
        <v>2424.746666666667</v>
      </c>
      <c r="G33" s="11">
        <f>(E33)*(0.6)*(B33)/(B32+B33+B34)</f>
        <v>5285.234422549907</v>
      </c>
      <c r="H33" s="11">
        <f>F47</f>
        <v>1433.8096428571428</v>
      </c>
      <c r="I33" s="5"/>
      <c r="J33" s="3" t="s">
        <v>16</v>
      </c>
      <c r="K33" s="11">
        <f>SUM(F33:H33)</f>
        <v>9143.790732073718</v>
      </c>
      <c r="L33" s="11">
        <f>'A conto'!B24</f>
        <v>9839.581826369003</v>
      </c>
      <c r="M33" s="11">
        <f t="shared" si="0"/>
        <v>-695.7910942952858</v>
      </c>
      <c r="N33" s="11">
        <f t="shared" si="1"/>
        <v>1181.6129616630915</v>
      </c>
      <c r="O33" s="8">
        <f>D33/SUM(B32:B34)</f>
        <v>8.767999698631602</v>
      </c>
      <c r="P33" s="5"/>
      <c r="Q33" s="11">
        <f>(D33-R33)</f>
        <v>-105</v>
      </c>
      <c r="R33" s="11">
        <v>3695</v>
      </c>
      <c r="S33" s="11">
        <v>3695</v>
      </c>
      <c r="T33" s="11">
        <v>4089</v>
      </c>
      <c r="U33" s="11">
        <v>3860</v>
      </c>
    </row>
    <row r="34" spans="1:21" ht="12.75">
      <c r="A34" s="3" t="s">
        <v>17</v>
      </c>
      <c r="B34" s="14">
        <v>145</v>
      </c>
      <c r="C34" s="1">
        <v>4</v>
      </c>
      <c r="D34" s="13"/>
      <c r="E34" s="13"/>
      <c r="F34" s="11">
        <f>E33*(0.4)*(C34)/(C32+C33+C34)</f>
        <v>4849.493333333334</v>
      </c>
      <c r="G34" s="11">
        <f>(E33)*(0.6)*(B34)/(B32+B33+B34)</f>
        <v>5796.211492809541</v>
      </c>
      <c r="H34" s="11">
        <f>F47</f>
        <v>1433.8096428571428</v>
      </c>
      <c r="I34" s="5"/>
      <c r="J34" s="3" t="s">
        <v>17</v>
      </c>
      <c r="K34" s="11">
        <f>SUM(F34:H34)</f>
        <v>12079.514469000018</v>
      </c>
      <c r="L34" s="11">
        <f>'A conto'!B25</f>
        <v>12779.71919760582</v>
      </c>
      <c r="M34" s="11">
        <f t="shared" si="0"/>
        <v>-700.2047286058023</v>
      </c>
      <c r="N34" s="11">
        <f t="shared" si="1"/>
        <v>1631.5348459418767</v>
      </c>
      <c r="O34" s="8"/>
      <c r="P34" s="8"/>
      <c r="R34" s="11"/>
      <c r="S34" s="11"/>
      <c r="T34" s="11"/>
      <c r="U34" s="11"/>
    </row>
    <row r="35" spans="1:21" ht="12.75">
      <c r="A35" s="3"/>
      <c r="B35" s="14"/>
      <c r="C35" s="1"/>
      <c r="D35" s="13"/>
      <c r="E35" s="13"/>
      <c r="I35" s="5"/>
      <c r="J35" s="3"/>
      <c r="O35" s="8"/>
      <c r="P35" s="8"/>
      <c r="R35" s="11"/>
      <c r="S35" s="11"/>
      <c r="T35" s="11"/>
      <c r="U35" s="11"/>
    </row>
    <row r="36" spans="1:21" ht="12.75">
      <c r="A36" s="3" t="s">
        <v>18</v>
      </c>
      <c r="B36" s="14">
        <v>145</v>
      </c>
      <c r="C36" s="1">
        <v>4</v>
      </c>
      <c r="D36" s="13"/>
      <c r="E36" s="13"/>
      <c r="G36" s="11">
        <f>(E37)*(B36)/(B36+B37+B38)</f>
        <v>11095.614318706697</v>
      </c>
      <c r="H36" s="11">
        <f>F47</f>
        <v>1433.8096428571428</v>
      </c>
      <c r="I36" s="5"/>
      <c r="J36" s="3" t="s">
        <v>18</v>
      </c>
      <c r="K36" s="11">
        <f>SUM(F36:H36)</f>
        <v>12529.42396156384</v>
      </c>
      <c r="L36" s="11">
        <f>'A conto'!B26</f>
        <v>12851.961287565106</v>
      </c>
      <c r="M36" s="11">
        <f t="shared" si="0"/>
        <v>-322.5373260012657</v>
      </c>
      <c r="N36" s="11">
        <f t="shared" si="1"/>
        <v>1700.4868812110963</v>
      </c>
      <c r="O36" s="8"/>
      <c r="P36" s="8"/>
      <c r="R36" s="11"/>
      <c r="S36" s="11"/>
      <c r="T36" s="11"/>
      <c r="U36" s="11"/>
    </row>
    <row r="37" spans="1:21" ht="12.75">
      <c r="A37" s="3" t="s">
        <v>19</v>
      </c>
      <c r="B37" s="14">
        <v>132</v>
      </c>
      <c r="C37" s="1">
        <v>2</v>
      </c>
      <c r="D37" s="13">
        <v>4364</v>
      </c>
      <c r="E37" s="13">
        <v>33133.8</v>
      </c>
      <c r="G37" s="11">
        <f>(E37)*(B37)/(B36+B37+B38)</f>
        <v>10100.835103926098</v>
      </c>
      <c r="H37" s="11">
        <f>F47</f>
        <v>1433.8096428571428</v>
      </c>
      <c r="I37" s="5"/>
      <c r="J37" s="3" t="s">
        <v>19</v>
      </c>
      <c r="K37" s="11">
        <f>SUM(F37:H37)</f>
        <v>11534.64474678324</v>
      </c>
      <c r="L37" s="11">
        <f>'A conto'!B27</f>
        <v>11850.079707381583</v>
      </c>
      <c r="M37" s="11">
        <f t="shared" si="0"/>
        <v>-315.4349605983425</v>
      </c>
      <c r="N37" s="11">
        <f t="shared" si="1"/>
        <v>1548.0294366887222</v>
      </c>
      <c r="O37" s="8">
        <f>D37/SUM(B36:B38)</f>
        <v>10.078521939953811</v>
      </c>
      <c r="P37" s="8"/>
      <c r="Q37" s="11">
        <f>(D37-R37)</f>
        <v>-494</v>
      </c>
      <c r="R37" s="11">
        <v>4858</v>
      </c>
      <c r="S37" s="11">
        <v>4858</v>
      </c>
      <c r="T37" s="11">
        <v>5078</v>
      </c>
      <c r="U37" s="11">
        <v>4438</v>
      </c>
    </row>
    <row r="38" spans="1:21" ht="12.75">
      <c r="A38" s="3" t="s">
        <v>20</v>
      </c>
      <c r="B38" s="14">
        <v>156</v>
      </c>
      <c r="C38" s="1">
        <v>4.12</v>
      </c>
      <c r="D38" s="13"/>
      <c r="G38" s="11">
        <f>(E37)*(B38)/(B36+B37+B38)</f>
        <v>11937.350577367208</v>
      </c>
      <c r="H38" s="11">
        <f>F47</f>
        <v>1433.8096428571428</v>
      </c>
      <c r="I38" s="5"/>
      <c r="J38" s="3" t="s">
        <v>20</v>
      </c>
      <c r="K38" s="11">
        <f>SUM(F38:H38)</f>
        <v>13371.16022022435</v>
      </c>
      <c r="L38" s="11">
        <f>'A conto'!B28</f>
        <v>13698.168778489624</v>
      </c>
      <c r="M38" s="11">
        <f t="shared" si="0"/>
        <v>-327.0085582652737</v>
      </c>
      <c r="N38" s="11">
        <f t="shared" si="1"/>
        <v>1829.4893342684902</v>
      </c>
      <c r="O38" s="8"/>
      <c r="P38" s="8"/>
      <c r="R38" s="11"/>
      <c r="S38" s="11"/>
      <c r="T38" s="11"/>
      <c r="U38" s="11"/>
    </row>
    <row r="39" spans="1:21" ht="12.75">
      <c r="A39" s="3" t="s">
        <v>4</v>
      </c>
      <c r="B39" s="14" t="s">
        <v>4</v>
      </c>
      <c r="C39" s="1"/>
      <c r="D39" s="13"/>
      <c r="E39" s="11" t="s">
        <v>4</v>
      </c>
      <c r="I39" s="5"/>
      <c r="J39" s="3" t="s">
        <v>4</v>
      </c>
      <c r="O39" s="8"/>
      <c r="P39" s="8"/>
      <c r="R39" s="11"/>
      <c r="S39" s="11"/>
      <c r="T39" s="11"/>
      <c r="U39" s="11"/>
    </row>
    <row r="40" spans="1:21" ht="12.75">
      <c r="A40" s="3" t="s">
        <v>21</v>
      </c>
      <c r="B40" s="14">
        <v>132</v>
      </c>
      <c r="C40" s="1">
        <v>3</v>
      </c>
      <c r="D40" s="13"/>
      <c r="E40" s="11">
        <f>E42*B58</f>
        <v>26991.289800000002</v>
      </c>
      <c r="F40" s="11">
        <f>$E$40*$B$60*(C40)/(C$40+C$41)</f>
        <v>3958.7225040000008</v>
      </c>
      <c r="G40" s="11">
        <f>$E$40*$B$59*(B40)/(B$40+B$41)</f>
        <v>9960.656622967743</v>
      </c>
      <c r="H40" s="11">
        <f>F47</f>
        <v>1433.8096428571428</v>
      </c>
      <c r="I40" s="5"/>
      <c r="J40" s="3" t="s">
        <v>21</v>
      </c>
      <c r="K40" s="11">
        <f>SUM(F40:H40)</f>
        <v>15353.188769824887</v>
      </c>
      <c r="L40" s="11">
        <f>'A conto'!B29</f>
        <v>16050.268640216698</v>
      </c>
      <c r="M40" s="11">
        <f t="shared" si="0"/>
        <v>-697.0798703918117</v>
      </c>
      <c r="N40" s="11">
        <f t="shared" si="1"/>
        <v>2133.250212212779</v>
      </c>
      <c r="O40" s="8"/>
      <c r="P40" s="8"/>
      <c r="R40" s="11"/>
      <c r="S40" s="11"/>
      <c r="T40" s="11"/>
      <c r="U40" s="11"/>
    </row>
    <row r="41" spans="1:21" ht="12.75">
      <c r="A41" s="3" t="s">
        <v>22</v>
      </c>
      <c r="B41" s="14">
        <v>147</v>
      </c>
      <c r="C41" s="1">
        <v>1.5</v>
      </c>
      <c r="D41" s="13"/>
      <c r="F41" s="11">
        <f>$E$40*$B$60*(C41)/(C$40+C$41)</f>
        <v>1979.3612520000004</v>
      </c>
      <c r="G41" s="11">
        <f>$E$40*$B$59*(B41)/(B$40+B$41)</f>
        <v>11092.54942103226</v>
      </c>
      <c r="H41" s="11">
        <f>F47</f>
        <v>1433.8096428571428</v>
      </c>
      <c r="I41" s="5"/>
      <c r="J41" s="3" t="s">
        <v>22</v>
      </c>
      <c r="K41" s="11">
        <f>SUM(F41:H41)</f>
        <v>14505.720315889403</v>
      </c>
      <c r="L41" s="11">
        <f>'A conto'!B30</f>
        <v>16356.12433804232</v>
      </c>
      <c r="M41" s="11">
        <f t="shared" si="0"/>
        <v>-1850.4040221529176</v>
      </c>
      <c r="N41" s="11">
        <f t="shared" si="1"/>
        <v>2003.3692568403578</v>
      </c>
      <c r="O41" s="8"/>
      <c r="P41" s="8"/>
      <c r="R41" s="11"/>
      <c r="S41" s="11"/>
      <c r="T41" s="11"/>
      <c r="U41" s="11"/>
    </row>
    <row r="42" spans="1:21" ht="12.75">
      <c r="A42" s="3" t="s">
        <v>43</v>
      </c>
      <c r="B42" s="14">
        <v>77</v>
      </c>
      <c r="C42" s="1">
        <v>2</v>
      </c>
      <c r="D42" s="13">
        <v>6597</v>
      </c>
      <c r="E42" s="13">
        <v>49983.87</v>
      </c>
      <c r="F42" s="11">
        <f>E$44*B$64*(C42)/(C$42+C$43+C$44)</f>
        <v>1580.73988875</v>
      </c>
      <c r="G42" s="11">
        <f>(E$44)*B$63*(B42)/(B$42+B$43+B$44)</f>
        <v>5978.070852000002</v>
      </c>
      <c r="H42" s="11">
        <f>F47</f>
        <v>1433.8096428571428</v>
      </c>
      <c r="I42" s="5"/>
      <c r="J42" s="3" t="s">
        <v>43</v>
      </c>
      <c r="K42" s="11">
        <f>SUM(F42:H42)</f>
        <v>8992.620383607145</v>
      </c>
      <c r="L42" s="11">
        <f>'A conto'!B31</f>
        <v>10015.971383580432</v>
      </c>
      <c r="M42" s="11">
        <f t="shared" si="0"/>
        <v>-1023.3509999732869</v>
      </c>
      <c r="N42" s="11">
        <f t="shared" si="1"/>
        <v>1158.4449614954829</v>
      </c>
      <c r="O42" s="8">
        <f>D42/SUM(B40:B44)</f>
        <v>12.935294117647059</v>
      </c>
      <c r="P42" s="8"/>
      <c r="Q42" s="11">
        <f>(D42-R42)</f>
        <v>-1156</v>
      </c>
      <c r="R42" s="11">
        <v>7753</v>
      </c>
      <c r="S42" s="11">
        <v>7753</v>
      </c>
      <c r="T42" s="11">
        <v>8293</v>
      </c>
      <c r="U42" s="11">
        <v>8165</v>
      </c>
    </row>
    <row r="43" spans="1:21" ht="12.75">
      <c r="A43" s="3" t="s">
        <v>44</v>
      </c>
      <c r="B43" s="14">
        <v>77</v>
      </c>
      <c r="C43" s="1">
        <v>1</v>
      </c>
      <c r="D43" s="13"/>
      <c r="F43" s="11">
        <f>E$44*B$64*(C43)/(C$42+C$43+C$44)</f>
        <v>790.369944375</v>
      </c>
      <c r="G43" s="11">
        <f>(E$44)*B$63*(B43)/(B$42+B$43+B$44)</f>
        <v>5978.070852000002</v>
      </c>
      <c r="H43" s="11">
        <f>F47</f>
        <v>1433.8096428571428</v>
      </c>
      <c r="I43" s="5"/>
      <c r="J43" s="3" t="s">
        <v>44</v>
      </c>
      <c r="K43" s="11">
        <f>SUM(F43:H43)</f>
        <v>8202.250439232144</v>
      </c>
      <c r="L43" s="11">
        <f>'A conto'!B32</f>
        <v>9001.789411178193</v>
      </c>
      <c r="M43" s="11">
        <f t="shared" si="0"/>
        <v>-799.5389719460491</v>
      </c>
      <c r="N43" s="11">
        <f t="shared" si="1"/>
        <v>1037.3147849132554</v>
      </c>
      <c r="O43" s="8"/>
      <c r="P43" s="8"/>
      <c r="R43" s="11"/>
      <c r="S43" s="11"/>
      <c r="T43" s="11"/>
      <c r="U43" s="11"/>
    </row>
    <row r="44" spans="1:21" ht="12.75">
      <c r="A44" s="3" t="s">
        <v>45</v>
      </c>
      <c r="B44" s="14">
        <v>77</v>
      </c>
      <c r="C44" s="1">
        <v>3.4</v>
      </c>
      <c r="E44" s="11">
        <f>E42*B62</f>
        <v>22992.580200000004</v>
      </c>
      <c r="F44" s="11">
        <f>E$44*B$64*(C44)/(C$42+C$43+C$44)</f>
        <v>2687.257810875</v>
      </c>
      <c r="G44" s="11">
        <f>(E$44)*B$63*(B44)/(B$42+B$43+B$44)</f>
        <v>5978.070852000002</v>
      </c>
      <c r="H44" s="11">
        <f>F47</f>
        <v>1433.8096428571428</v>
      </c>
      <c r="I44" s="5"/>
      <c r="J44" s="3" t="s">
        <v>45</v>
      </c>
      <c r="K44" s="11">
        <f>SUM(F44:H44)</f>
        <v>10099.138305732144</v>
      </c>
      <c r="L44" s="11">
        <f>'A conto'!B33</f>
        <v>10771.153355982671</v>
      </c>
      <c r="M44" s="11">
        <f>K44-L44</f>
        <v>-672.0150502505276</v>
      </c>
      <c r="N44" s="11">
        <f t="shared" si="1"/>
        <v>1328.0272087106007</v>
      </c>
      <c r="O44" s="8"/>
      <c r="P44" s="8"/>
      <c r="R44" s="11"/>
      <c r="S44" s="11"/>
      <c r="T44" s="11"/>
      <c r="U44" s="11"/>
    </row>
    <row r="45" spans="1:21" ht="12.75">
      <c r="A45" s="3"/>
      <c r="B45" s="5"/>
      <c r="I45" s="5"/>
      <c r="J45" s="3"/>
      <c r="O45" s="8"/>
      <c r="P45" s="8"/>
      <c r="R45" s="11"/>
      <c r="S45" s="11"/>
      <c r="T45" s="11"/>
      <c r="U45" s="11"/>
    </row>
    <row r="46" spans="2:21" ht="12.75">
      <c r="B46" s="5"/>
      <c r="F46" s="11" t="s">
        <v>39</v>
      </c>
      <c r="I46" s="5"/>
      <c r="O46" s="8"/>
      <c r="P46" s="8"/>
      <c r="R46" s="11"/>
      <c r="S46" s="11"/>
      <c r="T46" s="11"/>
      <c r="U46" s="11"/>
    </row>
    <row r="47" spans="1:21" ht="12.75">
      <c r="A47" s="3" t="s">
        <v>24</v>
      </c>
      <c r="B47" s="14">
        <v>375</v>
      </c>
      <c r="C47" s="1"/>
      <c r="D47" s="13">
        <v>5291</v>
      </c>
      <c r="E47" s="13">
        <v>40146.67</v>
      </c>
      <c r="F47" s="11">
        <f>E47/28</f>
        <v>1433.8096428571428</v>
      </c>
      <c r="I47" s="5"/>
      <c r="J47" s="3"/>
      <c r="O47" s="8">
        <f>D47/B47</f>
        <v>14.109333333333334</v>
      </c>
      <c r="P47" s="8"/>
      <c r="Q47" s="11">
        <f>(D47-R47)</f>
        <v>-853</v>
      </c>
      <c r="R47" s="11">
        <v>6144</v>
      </c>
      <c r="S47" s="11">
        <v>6144</v>
      </c>
      <c r="T47" s="11">
        <v>5723</v>
      </c>
      <c r="U47" s="11">
        <v>5063</v>
      </c>
    </row>
    <row r="48" spans="2:19" ht="12.75">
      <c r="B48" s="5"/>
      <c r="I48" s="5"/>
      <c r="J48" s="5"/>
      <c r="O48" s="5"/>
      <c r="R48" s="11"/>
      <c r="S48" s="11"/>
    </row>
    <row r="49" spans="1:21" ht="12.75">
      <c r="A49" s="2" t="s">
        <v>25</v>
      </c>
      <c r="B49" s="11">
        <f>SUM(B9:B47)</f>
        <v>4155.443444730077</v>
      </c>
      <c r="D49" s="11">
        <f>SUM(D10:D48)</f>
        <v>43239</v>
      </c>
      <c r="E49" s="11">
        <f>SUM(E10:E48)-E40-E44</f>
        <v>328252.63999999996</v>
      </c>
      <c r="F49" s="11">
        <f>SUM(F9:F44)</f>
        <v>70815.3412</v>
      </c>
      <c r="G49" s="11">
        <f>SUM(G9:G44)</f>
        <v>217290.62880000003</v>
      </c>
      <c r="H49" s="11">
        <f>SUM(H9:H44)</f>
        <v>40146.67000000002</v>
      </c>
      <c r="I49" s="5"/>
      <c r="J49" s="5" t="s">
        <v>25</v>
      </c>
      <c r="K49" s="11">
        <f>SUM(K9:K44)</f>
        <v>321871.50920000003</v>
      </c>
      <c r="L49" s="11">
        <f>SUM(L9:L44)</f>
        <v>356919.47711331584</v>
      </c>
      <c r="M49" s="11">
        <f>SUM(M9:M44)</f>
        <v>-35047.96791331581</v>
      </c>
      <c r="N49" s="11">
        <f>SUM(N9:N44)</f>
        <v>43176.46408844769</v>
      </c>
      <c r="O49" s="5"/>
      <c r="P49" s="5"/>
      <c r="S49" s="4" t="s">
        <v>52</v>
      </c>
      <c r="U49" s="4" t="s">
        <v>53</v>
      </c>
    </row>
    <row r="50" spans="1:21" ht="12.75">
      <c r="A50" s="2" t="s">
        <v>62</v>
      </c>
      <c r="B50" s="11">
        <f>(B20+B21+B22+B32+B33+B34)</f>
        <v>831.443444730077</v>
      </c>
      <c r="C50" s="3"/>
      <c r="D50" s="11">
        <f>SUM(D21+D33)</f>
        <v>7408</v>
      </c>
      <c r="E50" s="11">
        <f>SUM(E21+E33)</f>
        <v>56283.54</v>
      </c>
      <c r="K50" s="11" t="s">
        <v>48</v>
      </c>
      <c r="S50" s="6">
        <f>(E50/B50)</f>
        <v>67.69376841773298</v>
      </c>
      <c r="U50" s="6">
        <f>D50/B50</f>
        <v>8.909806249545888</v>
      </c>
    </row>
    <row r="51" spans="2:21" ht="12.75">
      <c r="B51" s="11"/>
      <c r="U51" s="6"/>
    </row>
    <row r="52" spans="1:21" ht="12.75">
      <c r="A52" s="2" t="s">
        <v>50</v>
      </c>
      <c r="B52" s="11">
        <f>B49-B50-B47-SUM(B40:B44)</f>
        <v>2439.0000000000005</v>
      </c>
      <c r="C52" s="3"/>
      <c r="D52" s="11">
        <f>(D10+D14+D17+D25+D29+D37)</f>
        <v>23943</v>
      </c>
      <c r="E52" s="11">
        <f>(E10+E14+E17+E25+E29+E37)</f>
        <v>181838.56</v>
      </c>
      <c r="K52" s="11" t="s">
        <v>47</v>
      </c>
      <c r="Q52" s="2" t="s">
        <v>42</v>
      </c>
      <c r="S52" s="6">
        <f>(E52/B52)</f>
        <v>74.55455514555145</v>
      </c>
      <c r="U52" s="6">
        <f>D52/B52</f>
        <v>9.81672816728167</v>
      </c>
    </row>
    <row r="53" ht="12.75">
      <c r="U53" s="6"/>
    </row>
    <row r="54" spans="1:22" ht="12.75">
      <c r="A54" s="2" t="s">
        <v>63</v>
      </c>
      <c r="K54" s="11" t="s">
        <v>49</v>
      </c>
      <c r="S54" s="6">
        <f>SUM(E9:E39)/SUM(B9:B39)</f>
        <v>72.8103402563664</v>
      </c>
      <c r="T54" s="6"/>
      <c r="U54" s="6">
        <f>SUM(D9:D38)/SUM(B9:B38)</f>
        <v>9.58616179421122</v>
      </c>
      <c r="V54" s="6"/>
    </row>
    <row r="55" spans="1:21" ht="12.75">
      <c r="A55" s="2" t="s">
        <v>35</v>
      </c>
      <c r="B55" s="15">
        <v>0.78</v>
      </c>
      <c r="S55" s="6"/>
      <c r="U55" s="6"/>
    </row>
    <row r="56" spans="1:21" ht="12.75">
      <c r="A56" s="2" t="s">
        <v>57</v>
      </c>
      <c r="B56" s="15">
        <v>0.22</v>
      </c>
      <c r="K56" s="11" t="s">
        <v>51</v>
      </c>
      <c r="S56" s="6">
        <f>E42/SUM(B40:B44)</f>
        <v>98.00758823529412</v>
      </c>
      <c r="U56" s="6">
        <f>D42/SUM(B40:B44)</f>
        <v>12.935294117647059</v>
      </c>
    </row>
    <row r="57" spans="2:21" ht="12.75">
      <c r="B57" s="1"/>
      <c r="U57" s="6"/>
    </row>
    <row r="58" spans="1:21" ht="12.75">
      <c r="A58" s="2" t="s">
        <v>58</v>
      </c>
      <c r="B58" s="15">
        <v>0.54</v>
      </c>
      <c r="K58" s="11" t="s">
        <v>24</v>
      </c>
      <c r="O58" s="16"/>
      <c r="P58" s="16"/>
      <c r="Q58" s="16"/>
      <c r="R58" s="16"/>
      <c r="S58" s="6">
        <f>E47/B47</f>
        <v>107.05778666666666</v>
      </c>
      <c r="U58" s="6">
        <f>D47/B47</f>
        <v>14.109333333333334</v>
      </c>
    </row>
    <row r="59" spans="1:21" ht="12.75">
      <c r="A59" s="10" t="s">
        <v>60</v>
      </c>
      <c r="B59" s="15">
        <v>0.78</v>
      </c>
      <c r="O59" s="16"/>
      <c r="P59" s="16"/>
      <c r="Q59" s="16"/>
      <c r="R59" s="16"/>
      <c r="S59" s="6"/>
      <c r="U59" s="6"/>
    </row>
    <row r="60" spans="1:21" ht="12.75">
      <c r="A60" s="10" t="s">
        <v>61</v>
      </c>
      <c r="B60" s="15">
        <v>0.22</v>
      </c>
      <c r="O60" s="16"/>
      <c r="P60" s="16"/>
      <c r="Q60" s="16"/>
      <c r="R60" s="16"/>
      <c r="S60" s="6"/>
      <c r="U60" s="6"/>
    </row>
    <row r="61" spans="2:21" ht="12.75">
      <c r="B61" s="15"/>
      <c r="O61" s="16"/>
      <c r="P61" s="16"/>
      <c r="Q61" s="16"/>
      <c r="R61" s="16"/>
      <c r="S61" s="6"/>
      <c r="U61" s="6"/>
    </row>
    <row r="62" spans="1:2" ht="12.75">
      <c r="A62" s="2" t="s">
        <v>59</v>
      </c>
      <c r="B62" s="15">
        <v>0.46</v>
      </c>
    </row>
    <row r="63" spans="1:2" ht="12.75">
      <c r="A63" s="10" t="s">
        <v>60</v>
      </c>
      <c r="B63" s="15">
        <v>0.78</v>
      </c>
    </row>
    <row r="64" spans="1:2" ht="12.75">
      <c r="A64" s="10" t="s">
        <v>61</v>
      </c>
      <c r="B64" s="15">
        <v>0.22</v>
      </c>
    </row>
    <row r="66" ht="12.75">
      <c r="C66" s="2" t="s">
        <v>76</v>
      </c>
    </row>
  </sheetData>
  <sheetProtection/>
  <protectedRanges>
    <protectedRange sqref="E47" name="Omr?de12"/>
    <protectedRange sqref="E42" name="Omr?de11"/>
    <protectedRange sqref="E10:E37" name="Omr?de10"/>
    <protectedRange sqref="D10:D43" name="Omr?de6"/>
    <protectedRange sqref="B9:C44" name="Omr?de2"/>
    <protectedRange sqref="B55:B64" name="Omr?de5"/>
    <protectedRange sqref="B47:D47" name="Omr?de7"/>
    <protectedRange sqref="F3" name="Omr?de9"/>
    <protectedRange sqref="C3" name="Omr?de13"/>
  </protectedRanges>
  <printOptions/>
  <pageMargins left="0.75" right="0.75" top="1" bottom="1" header="0.5" footer="0.5"/>
  <pageSetup fitToHeight="1" fitToWidth="1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38" sqref="A38:IV38"/>
    </sheetView>
  </sheetViews>
  <sheetFormatPr defaultColWidth="9.140625" defaultRowHeight="12.75"/>
  <cols>
    <col min="1" max="1" width="7.57421875" style="38" customWidth="1"/>
    <col min="2" max="2" width="8.7109375" style="37" customWidth="1"/>
    <col min="3" max="4" width="8.00390625" style="38" hidden="1" customWidth="1"/>
    <col min="5" max="5" width="8.00390625" style="38" customWidth="1"/>
    <col min="6" max="11" width="10.28125" style="38" customWidth="1"/>
    <col min="12" max="16384" width="9.140625" style="38" customWidth="1"/>
  </cols>
  <sheetData>
    <row r="1" ht="16.5">
      <c r="A1" s="37" t="s">
        <v>88</v>
      </c>
    </row>
    <row r="2" ht="16.5">
      <c r="A2" s="37"/>
    </row>
    <row r="3" ht="17.25" thickBot="1">
      <c r="A3" s="37"/>
    </row>
    <row r="4" spans="1:11" ht="16.5">
      <c r="A4" s="39" t="s">
        <v>77</v>
      </c>
      <c r="B4" s="40" t="s">
        <v>25</v>
      </c>
      <c r="C4" s="40" t="s">
        <v>78</v>
      </c>
      <c r="D4" s="40" t="s">
        <v>79</v>
      </c>
      <c r="E4" s="40" t="s">
        <v>94</v>
      </c>
      <c r="F4" s="40" t="s">
        <v>87</v>
      </c>
      <c r="G4" s="40" t="s">
        <v>89</v>
      </c>
      <c r="H4" s="40" t="s">
        <v>90</v>
      </c>
      <c r="I4" s="40" t="s">
        <v>91</v>
      </c>
      <c r="J4" s="40" t="s">
        <v>92</v>
      </c>
      <c r="K4" s="40" t="s">
        <v>93</v>
      </c>
    </row>
    <row r="5" spans="1:14" ht="19.5">
      <c r="A5" s="41" t="s">
        <v>1</v>
      </c>
      <c r="B5" s="43">
        <f>SUM(E5:K5)</f>
        <v>13937.716384209005</v>
      </c>
      <c r="C5" s="43"/>
      <c r="D5" s="43"/>
      <c r="E5" s="42">
        <v>5.71638420900581</v>
      </c>
      <c r="F5" s="51">
        <v>2317</v>
      </c>
      <c r="G5" s="51">
        <v>2323</v>
      </c>
      <c r="H5" s="51">
        <v>2323</v>
      </c>
      <c r="I5" s="51">
        <v>2323</v>
      </c>
      <c r="J5" s="51">
        <v>2323</v>
      </c>
      <c r="K5" s="51">
        <v>2323</v>
      </c>
      <c r="L5" s="37"/>
      <c r="N5" s="44"/>
    </row>
    <row r="6" spans="1:14" ht="19.5">
      <c r="A6" s="45">
        <v>2</v>
      </c>
      <c r="B6" s="43">
        <f aca="true" t="shared" si="0" ref="B6:B33">SUM(E6:K6)</f>
        <v>9719.689205088438</v>
      </c>
      <c r="C6" s="43"/>
      <c r="D6" s="43"/>
      <c r="E6" s="42">
        <v>-15.310794911561288</v>
      </c>
      <c r="F6" s="51">
        <v>1635</v>
      </c>
      <c r="G6" s="51">
        <v>1620</v>
      </c>
      <c r="H6" s="51">
        <v>1620</v>
      </c>
      <c r="I6" s="51">
        <v>1620</v>
      </c>
      <c r="J6" s="51">
        <v>1620</v>
      </c>
      <c r="K6" s="51">
        <v>1620</v>
      </c>
      <c r="L6" s="37"/>
      <c r="N6" s="44"/>
    </row>
    <row r="7" spans="1:14" ht="19.5">
      <c r="A7" s="46">
        <v>3</v>
      </c>
      <c r="B7" s="43">
        <f t="shared" si="0"/>
        <v>16547.923685569356</v>
      </c>
      <c r="C7" s="43"/>
      <c r="D7" s="43"/>
      <c r="E7" s="42">
        <v>196.92368556935708</v>
      </c>
      <c r="F7" s="51">
        <v>2561</v>
      </c>
      <c r="G7" s="51">
        <v>2758</v>
      </c>
      <c r="H7" s="51">
        <v>2758</v>
      </c>
      <c r="I7" s="51">
        <v>2758</v>
      </c>
      <c r="J7" s="51">
        <v>2758</v>
      </c>
      <c r="K7" s="51">
        <v>2758</v>
      </c>
      <c r="L7" s="37"/>
      <c r="N7" s="44"/>
    </row>
    <row r="8" spans="1:14" ht="19.5">
      <c r="A8" s="46">
        <v>4</v>
      </c>
      <c r="B8" s="43">
        <f t="shared" si="0"/>
        <v>14369.624174152475</v>
      </c>
      <c r="C8" s="43"/>
      <c r="D8" s="43"/>
      <c r="E8" s="42">
        <v>-67.37582584752408</v>
      </c>
      <c r="F8" s="51">
        <v>2462</v>
      </c>
      <c r="G8" s="51">
        <v>2395</v>
      </c>
      <c r="H8" s="51">
        <v>2395</v>
      </c>
      <c r="I8" s="51">
        <v>2395</v>
      </c>
      <c r="J8" s="51">
        <v>2395</v>
      </c>
      <c r="K8" s="51">
        <v>2395</v>
      </c>
      <c r="L8" s="37"/>
      <c r="N8" s="44"/>
    </row>
    <row r="9" spans="1:14" ht="19.5">
      <c r="A9" s="41" t="s">
        <v>81</v>
      </c>
      <c r="B9" s="43">
        <f t="shared" si="0"/>
        <v>12432.035187428713</v>
      </c>
      <c r="C9" s="43"/>
      <c r="D9" s="43"/>
      <c r="E9" s="42">
        <v>-277.9648125712861</v>
      </c>
      <c r="F9" s="51">
        <v>2350</v>
      </c>
      <c r="G9" s="51">
        <v>2072</v>
      </c>
      <c r="H9" s="51">
        <v>2072</v>
      </c>
      <c r="I9" s="51">
        <v>2072</v>
      </c>
      <c r="J9" s="51">
        <v>2072</v>
      </c>
      <c r="K9" s="51">
        <v>2072</v>
      </c>
      <c r="L9" s="37"/>
      <c r="N9" s="44"/>
    </row>
    <row r="10" spans="1:14" ht="19.5">
      <c r="A10" s="41" t="s">
        <v>82</v>
      </c>
      <c r="B10" s="43">
        <f t="shared" si="0"/>
        <v>0</v>
      </c>
      <c r="C10" s="43"/>
      <c r="D10" s="43"/>
      <c r="E10" s="42" t="s">
        <v>4</v>
      </c>
      <c r="F10" s="51"/>
      <c r="G10" s="51"/>
      <c r="H10" s="51"/>
      <c r="I10" s="51"/>
      <c r="J10" s="51"/>
      <c r="K10" s="51"/>
      <c r="L10" s="37"/>
      <c r="N10" s="44"/>
    </row>
    <row r="11" spans="1:14" ht="19.5">
      <c r="A11" s="46">
        <v>6</v>
      </c>
      <c r="B11" s="43">
        <f t="shared" si="0"/>
        <v>13722.261884203115</v>
      </c>
      <c r="C11" s="43"/>
      <c r="D11" s="43"/>
      <c r="E11" s="42">
        <v>6.261884203114732</v>
      </c>
      <c r="F11" s="51">
        <v>2281</v>
      </c>
      <c r="G11" s="51">
        <v>2287</v>
      </c>
      <c r="H11" s="51">
        <v>2287</v>
      </c>
      <c r="I11" s="51">
        <v>2287</v>
      </c>
      <c r="J11" s="51">
        <v>2287</v>
      </c>
      <c r="K11" s="51">
        <v>2287</v>
      </c>
      <c r="L11" s="37"/>
      <c r="N11" s="44"/>
    </row>
    <row r="12" spans="1:14" ht="19.5">
      <c r="A12" s="46">
        <v>7</v>
      </c>
      <c r="B12" s="43">
        <f t="shared" si="0"/>
        <v>13739.797343502338</v>
      </c>
      <c r="C12" s="43"/>
      <c r="D12" s="43"/>
      <c r="E12" s="42">
        <v>126.7973435023373</v>
      </c>
      <c r="F12" s="51">
        <v>2163</v>
      </c>
      <c r="G12" s="51">
        <v>2290</v>
      </c>
      <c r="H12" s="51">
        <v>2290</v>
      </c>
      <c r="I12" s="51">
        <v>2290</v>
      </c>
      <c r="J12" s="51">
        <v>2290</v>
      </c>
      <c r="K12" s="51">
        <v>2290</v>
      </c>
      <c r="L12" s="37"/>
      <c r="N12" s="44"/>
    </row>
    <row r="13" spans="1:14" ht="19.5">
      <c r="A13" s="46">
        <v>8</v>
      </c>
      <c r="B13" s="43">
        <f t="shared" si="0"/>
        <v>17448.01504418387</v>
      </c>
      <c r="C13" s="43"/>
      <c r="D13" s="43"/>
      <c r="E13" s="42">
        <v>164.01504418386958</v>
      </c>
      <c r="F13" s="51">
        <v>2744</v>
      </c>
      <c r="G13" s="51">
        <v>2908</v>
      </c>
      <c r="H13" s="51">
        <v>2908</v>
      </c>
      <c r="I13" s="51">
        <v>2908</v>
      </c>
      <c r="J13" s="51">
        <v>2908</v>
      </c>
      <c r="K13" s="51">
        <v>2908</v>
      </c>
      <c r="L13" s="37"/>
      <c r="N13" s="44"/>
    </row>
    <row r="14" spans="1:14" ht="19.5">
      <c r="A14" s="46">
        <v>9</v>
      </c>
      <c r="B14" s="43">
        <f t="shared" si="0"/>
        <v>10691.795633097077</v>
      </c>
      <c r="C14" s="43"/>
      <c r="D14" s="43"/>
      <c r="E14" s="42">
        <v>-704.2043669029235</v>
      </c>
      <c r="F14" s="51">
        <v>2486</v>
      </c>
      <c r="G14" s="51">
        <v>1782</v>
      </c>
      <c r="H14" s="51">
        <v>1782</v>
      </c>
      <c r="I14" s="51">
        <v>1782</v>
      </c>
      <c r="J14" s="51">
        <v>1782</v>
      </c>
      <c r="K14" s="51">
        <v>1782</v>
      </c>
      <c r="L14" s="37"/>
      <c r="N14" s="44"/>
    </row>
    <row r="15" spans="1:14" ht="19.5">
      <c r="A15" s="46">
        <v>10</v>
      </c>
      <c r="B15" s="43">
        <f t="shared" si="0"/>
        <v>9882.204766762412</v>
      </c>
      <c r="C15" s="43"/>
      <c r="D15" s="43"/>
      <c r="E15" s="42">
        <v>-640.7952332375878</v>
      </c>
      <c r="F15" s="51">
        <v>2288</v>
      </c>
      <c r="G15" s="51">
        <v>1647</v>
      </c>
      <c r="H15" s="51">
        <v>1647</v>
      </c>
      <c r="I15" s="51">
        <v>1647</v>
      </c>
      <c r="J15" s="51">
        <v>1647</v>
      </c>
      <c r="K15" s="51">
        <v>1647</v>
      </c>
      <c r="L15" s="37"/>
      <c r="N15" s="44"/>
    </row>
    <row r="16" spans="1:14" ht="19.5">
      <c r="A16" s="46">
        <v>11</v>
      </c>
      <c r="B16" s="43">
        <f t="shared" si="0"/>
        <v>10691.795633097077</v>
      </c>
      <c r="C16" s="43"/>
      <c r="D16" s="43"/>
      <c r="E16" s="42">
        <v>-704.2043669029235</v>
      </c>
      <c r="F16" s="51">
        <v>2486</v>
      </c>
      <c r="G16" s="51">
        <v>1782</v>
      </c>
      <c r="H16" s="51">
        <v>1782</v>
      </c>
      <c r="I16" s="51">
        <v>1782</v>
      </c>
      <c r="J16" s="51">
        <v>1782</v>
      </c>
      <c r="K16" s="51">
        <v>1782</v>
      </c>
      <c r="L16" s="37"/>
      <c r="N16" s="44"/>
    </row>
    <row r="17" spans="1:14" ht="19.5">
      <c r="A17" s="46">
        <v>12</v>
      </c>
      <c r="B17" s="43">
        <f t="shared" si="0"/>
        <v>16674.19489651762</v>
      </c>
      <c r="C17" s="43"/>
      <c r="D17" s="43"/>
      <c r="E17" s="42">
        <v>-319.80510348237885</v>
      </c>
      <c r="F17" s="51">
        <v>3099</v>
      </c>
      <c r="G17" s="51">
        <v>2779</v>
      </c>
      <c r="H17" s="51">
        <v>2779</v>
      </c>
      <c r="I17" s="51">
        <v>2779</v>
      </c>
      <c r="J17" s="51">
        <v>2779</v>
      </c>
      <c r="K17" s="51">
        <v>2779</v>
      </c>
      <c r="L17" s="37"/>
      <c r="N17" s="44"/>
    </row>
    <row r="18" spans="1:14" ht="19.5">
      <c r="A18" s="46">
        <v>13</v>
      </c>
      <c r="B18" s="43">
        <f t="shared" si="0"/>
        <v>9389.683060051266</v>
      </c>
      <c r="C18" s="43"/>
      <c r="D18" s="43"/>
      <c r="E18" s="42">
        <v>-162.31693994873444</v>
      </c>
      <c r="F18" s="51">
        <v>1727</v>
      </c>
      <c r="G18" s="51">
        <v>1565</v>
      </c>
      <c r="H18" s="51">
        <v>1565</v>
      </c>
      <c r="I18" s="51">
        <v>1565</v>
      </c>
      <c r="J18" s="51">
        <v>1565</v>
      </c>
      <c r="K18" s="51">
        <v>1565</v>
      </c>
      <c r="L18" s="37"/>
      <c r="N18" s="44"/>
    </row>
    <row r="19" spans="1:14" ht="19.5">
      <c r="A19" s="46">
        <v>14</v>
      </c>
      <c r="B19" s="43">
        <f t="shared" si="0"/>
        <v>16938.47397388879</v>
      </c>
      <c r="C19" s="43"/>
      <c r="D19" s="43"/>
      <c r="E19" s="42">
        <v>-325.52602611120983</v>
      </c>
      <c r="F19" s="51">
        <v>3149</v>
      </c>
      <c r="G19" s="51">
        <v>2823</v>
      </c>
      <c r="H19" s="51">
        <v>2823</v>
      </c>
      <c r="I19" s="51">
        <v>2823</v>
      </c>
      <c r="J19" s="51">
        <v>2823</v>
      </c>
      <c r="K19" s="51">
        <v>2823</v>
      </c>
      <c r="L19" s="37"/>
      <c r="N19" s="44"/>
    </row>
    <row r="20" spans="1:14" ht="19.5">
      <c r="A20" s="46">
        <v>15</v>
      </c>
      <c r="B20" s="43">
        <f t="shared" si="0"/>
        <v>11664.193101319004</v>
      </c>
      <c r="C20" s="43"/>
      <c r="D20" s="43"/>
      <c r="E20" s="42">
        <v>-220.80689868099466</v>
      </c>
      <c r="F20" s="51">
        <v>2165</v>
      </c>
      <c r="G20" s="51">
        <v>1944</v>
      </c>
      <c r="H20" s="51">
        <v>1944</v>
      </c>
      <c r="I20" s="51">
        <v>1944</v>
      </c>
      <c r="J20" s="51">
        <v>1944</v>
      </c>
      <c r="K20" s="51">
        <v>1944</v>
      </c>
      <c r="L20" s="37"/>
      <c r="N20" s="44"/>
    </row>
    <row r="21" spans="1:14" ht="19.5">
      <c r="A21" s="46">
        <v>16</v>
      </c>
      <c r="B21" s="43">
        <f t="shared" si="0"/>
        <v>11093.526659303181</v>
      </c>
      <c r="C21" s="43"/>
      <c r="D21" s="43"/>
      <c r="E21" s="42">
        <v>-206.473340696818</v>
      </c>
      <c r="F21" s="51">
        <v>2055</v>
      </c>
      <c r="G21" s="51">
        <v>1849</v>
      </c>
      <c r="H21" s="51">
        <v>1849</v>
      </c>
      <c r="I21" s="51">
        <v>1849</v>
      </c>
      <c r="J21" s="51">
        <v>1849</v>
      </c>
      <c r="K21" s="51">
        <v>1849</v>
      </c>
      <c r="L21" s="37"/>
      <c r="N21" s="44"/>
    </row>
    <row r="22" spans="1:14" ht="19.5">
      <c r="A22" s="46">
        <v>17</v>
      </c>
      <c r="B22" s="43">
        <f t="shared" si="0"/>
        <v>12539.93528676596</v>
      </c>
      <c r="C22" s="43"/>
      <c r="D22" s="43"/>
      <c r="E22" s="42">
        <v>-313.0647132340396</v>
      </c>
      <c r="F22" s="51">
        <v>2403</v>
      </c>
      <c r="G22" s="51">
        <v>2090</v>
      </c>
      <c r="H22" s="51">
        <v>2090</v>
      </c>
      <c r="I22" s="51">
        <v>2090</v>
      </c>
      <c r="J22" s="51">
        <v>2090</v>
      </c>
      <c r="K22" s="51">
        <v>2090</v>
      </c>
      <c r="L22" s="37"/>
      <c r="N22" s="44"/>
    </row>
    <row r="23" spans="1:14" ht="19.5">
      <c r="A23" s="46">
        <v>18</v>
      </c>
      <c r="B23" s="43">
        <f t="shared" si="0"/>
        <v>12221.793267764664</v>
      </c>
      <c r="C23" s="43"/>
      <c r="D23" s="43"/>
      <c r="E23" s="42">
        <v>-66.20673223533572</v>
      </c>
      <c r="F23" s="51">
        <v>2103</v>
      </c>
      <c r="G23" s="51">
        <v>2037</v>
      </c>
      <c r="H23" s="51">
        <v>2037</v>
      </c>
      <c r="I23" s="51">
        <v>2037</v>
      </c>
      <c r="J23" s="51">
        <v>2037</v>
      </c>
      <c r="K23" s="51">
        <v>2037</v>
      </c>
      <c r="L23" s="37"/>
      <c r="N23" s="44"/>
    </row>
    <row r="24" spans="1:14" ht="19.5">
      <c r="A24" s="46">
        <v>19</v>
      </c>
      <c r="B24" s="43">
        <f t="shared" si="0"/>
        <v>9839.581826369003</v>
      </c>
      <c r="C24" s="43"/>
      <c r="D24" s="43"/>
      <c r="E24" s="42">
        <v>-197.41817363099676</v>
      </c>
      <c r="F24" s="51">
        <v>1837</v>
      </c>
      <c r="G24" s="51">
        <v>1640</v>
      </c>
      <c r="H24" s="51">
        <v>1640</v>
      </c>
      <c r="I24" s="51">
        <v>1640</v>
      </c>
      <c r="J24" s="51">
        <v>1640</v>
      </c>
      <c r="K24" s="51">
        <v>1640</v>
      </c>
      <c r="L24" s="37"/>
      <c r="N24" s="44"/>
    </row>
    <row r="25" spans="1:14" ht="19.5">
      <c r="A25" s="46">
        <v>20</v>
      </c>
      <c r="B25" s="43">
        <f t="shared" si="0"/>
        <v>12779.71919760582</v>
      </c>
      <c r="C25" s="43"/>
      <c r="D25" s="43"/>
      <c r="E25" s="42">
        <v>-298.2808023941798</v>
      </c>
      <c r="F25" s="51">
        <v>2428</v>
      </c>
      <c r="G25" s="51">
        <v>2130</v>
      </c>
      <c r="H25" s="51">
        <v>2130</v>
      </c>
      <c r="I25" s="51">
        <v>2130</v>
      </c>
      <c r="J25" s="51">
        <v>2130</v>
      </c>
      <c r="K25" s="51">
        <v>2130</v>
      </c>
      <c r="L25" s="37"/>
      <c r="N25" s="44"/>
    </row>
    <row r="26" spans="1:14" ht="19.5">
      <c r="A26" s="46">
        <v>21</v>
      </c>
      <c r="B26" s="43">
        <f t="shared" si="0"/>
        <v>12851.961287565106</v>
      </c>
      <c r="C26" s="43"/>
      <c r="D26" s="43"/>
      <c r="E26" s="42">
        <v>-436.0387124348945</v>
      </c>
      <c r="F26" s="51">
        <v>2578</v>
      </c>
      <c r="G26" s="51">
        <v>2142</v>
      </c>
      <c r="H26" s="51">
        <v>2142</v>
      </c>
      <c r="I26" s="51">
        <v>2142</v>
      </c>
      <c r="J26" s="51">
        <v>2142</v>
      </c>
      <c r="K26" s="51">
        <v>2142</v>
      </c>
      <c r="L26" s="37"/>
      <c r="N26" s="44"/>
    </row>
    <row r="27" spans="1:14" ht="19.5">
      <c r="A27" s="46">
        <v>22</v>
      </c>
      <c r="B27" s="43">
        <f t="shared" si="0"/>
        <v>11850.079707381583</v>
      </c>
      <c r="C27" s="43"/>
      <c r="D27" s="43"/>
      <c r="E27" s="42">
        <v>-395.92029261841685</v>
      </c>
      <c r="F27" s="51">
        <v>2371</v>
      </c>
      <c r="G27" s="51">
        <v>1975</v>
      </c>
      <c r="H27" s="51">
        <v>1975</v>
      </c>
      <c r="I27" s="51">
        <v>1975</v>
      </c>
      <c r="J27" s="51">
        <v>1975</v>
      </c>
      <c r="K27" s="51">
        <v>1975</v>
      </c>
      <c r="L27" s="37"/>
      <c r="N27" s="44"/>
    </row>
    <row r="28" spans="1:14" ht="19.5">
      <c r="A28" s="46">
        <v>23</v>
      </c>
      <c r="B28" s="43">
        <f t="shared" si="0"/>
        <v>13698.168778489624</v>
      </c>
      <c r="C28" s="43"/>
      <c r="D28" s="43"/>
      <c r="E28" s="42">
        <v>-468.83122151037605</v>
      </c>
      <c r="F28" s="51">
        <v>2752</v>
      </c>
      <c r="G28" s="51">
        <v>2283</v>
      </c>
      <c r="H28" s="51">
        <v>2283</v>
      </c>
      <c r="I28" s="51">
        <v>2283</v>
      </c>
      <c r="J28" s="51">
        <v>2283</v>
      </c>
      <c r="K28" s="51">
        <v>2283</v>
      </c>
      <c r="L28" s="37"/>
      <c r="N28" s="44"/>
    </row>
    <row r="29" spans="1:14" ht="19.5">
      <c r="A29" s="46">
        <v>24</v>
      </c>
      <c r="B29" s="43">
        <f t="shared" si="0"/>
        <v>16050.268640216698</v>
      </c>
      <c r="C29" s="43"/>
      <c r="D29" s="43"/>
      <c r="E29" s="42">
        <v>198.26864021669735</v>
      </c>
      <c r="F29" s="51">
        <v>2477</v>
      </c>
      <c r="G29" s="51">
        <v>2675</v>
      </c>
      <c r="H29" s="51">
        <v>2675</v>
      </c>
      <c r="I29" s="51">
        <v>2675</v>
      </c>
      <c r="J29" s="51">
        <v>2675</v>
      </c>
      <c r="K29" s="51">
        <v>2675</v>
      </c>
      <c r="L29" s="37"/>
      <c r="N29" s="44"/>
    </row>
    <row r="30" spans="1:14" ht="19.5">
      <c r="A30" s="46">
        <v>25</v>
      </c>
      <c r="B30" s="43">
        <f t="shared" si="0"/>
        <v>16356.12433804232</v>
      </c>
      <c r="C30" s="43"/>
      <c r="D30" s="43"/>
      <c r="E30" s="42">
        <v>296.1243380423207</v>
      </c>
      <c r="F30" s="51">
        <v>2430</v>
      </c>
      <c r="G30" s="51">
        <v>2726</v>
      </c>
      <c r="H30" s="51">
        <v>2726</v>
      </c>
      <c r="I30" s="51">
        <v>2726</v>
      </c>
      <c r="J30" s="51">
        <v>2726</v>
      </c>
      <c r="K30" s="51">
        <v>2726</v>
      </c>
      <c r="L30" s="37"/>
      <c r="N30" s="44"/>
    </row>
    <row r="31" spans="1:14" ht="19.5">
      <c r="A31" s="46" t="s">
        <v>83</v>
      </c>
      <c r="B31" s="43">
        <f t="shared" si="0"/>
        <v>10015.971383580432</v>
      </c>
      <c r="C31" s="43"/>
      <c r="D31" s="43"/>
      <c r="E31" s="42">
        <v>220.97138358043185</v>
      </c>
      <c r="F31" s="52">
        <v>1434</v>
      </c>
      <c r="G31" s="52">
        <v>1741</v>
      </c>
      <c r="H31" s="52">
        <v>1655</v>
      </c>
      <c r="I31" s="52">
        <v>1655</v>
      </c>
      <c r="J31" s="52">
        <v>1655</v>
      </c>
      <c r="K31" s="52">
        <v>1655</v>
      </c>
      <c r="L31" s="37"/>
      <c r="N31" s="44"/>
    </row>
    <row r="32" spans="1:14" ht="19.5">
      <c r="A32" s="48" t="s">
        <v>84</v>
      </c>
      <c r="B32" s="43">
        <f t="shared" si="0"/>
        <v>9001.789411178193</v>
      </c>
      <c r="C32" s="47"/>
      <c r="D32" s="47"/>
      <c r="E32" s="42">
        <v>330.78941117819386</v>
      </c>
      <c r="F32" s="52">
        <v>1173</v>
      </c>
      <c r="G32" s="52">
        <v>1482</v>
      </c>
      <c r="H32" s="52">
        <v>1504</v>
      </c>
      <c r="I32" s="52">
        <v>1504</v>
      </c>
      <c r="J32" s="52">
        <v>1504</v>
      </c>
      <c r="K32" s="52">
        <v>1504</v>
      </c>
      <c r="L32" s="37"/>
      <c r="N32" s="44"/>
    </row>
    <row r="33" spans="1:14" ht="19.5">
      <c r="A33" s="46" t="s">
        <v>85</v>
      </c>
      <c r="B33" s="43">
        <f t="shared" si="0"/>
        <v>10771.153355982671</v>
      </c>
      <c r="C33" s="43"/>
      <c r="D33" s="43"/>
      <c r="E33" s="42">
        <v>242.15335598267006</v>
      </c>
      <c r="F33" s="51">
        <v>1564</v>
      </c>
      <c r="G33" s="51">
        <v>1741</v>
      </c>
      <c r="H33" s="51">
        <v>1806</v>
      </c>
      <c r="I33" s="51">
        <v>1806</v>
      </c>
      <c r="J33" s="51">
        <v>1806</v>
      </c>
      <c r="K33" s="51">
        <v>1806</v>
      </c>
      <c r="L33" s="37"/>
      <c r="N33" s="44"/>
    </row>
    <row r="34" spans="1:14" ht="15.75" thickBot="1">
      <c r="A34" s="49" t="s">
        <v>25</v>
      </c>
      <c r="B34" s="50">
        <f aca="true" t="shared" si="1" ref="B34:K34">SUM(B5:B33)</f>
        <v>356919.47711331584</v>
      </c>
      <c r="C34" s="50">
        <f>SUM(C5:C33)</f>
        <v>0</v>
      </c>
      <c r="D34" s="50">
        <f>SUM(D5:D33)</f>
        <v>0</v>
      </c>
      <c r="E34" s="50">
        <f>SUM(E5:E33)</f>
        <v>-4032.5228866841835</v>
      </c>
      <c r="F34" s="50">
        <f t="shared" si="1"/>
        <v>63518</v>
      </c>
      <c r="G34" s="50">
        <f t="shared" si="1"/>
        <v>59486</v>
      </c>
      <c r="H34" s="50">
        <f t="shared" si="1"/>
        <v>59487</v>
      </c>
      <c r="I34" s="50">
        <f t="shared" si="1"/>
        <v>59487</v>
      </c>
      <c r="J34" s="50">
        <f t="shared" si="1"/>
        <v>59487</v>
      </c>
      <c r="K34" s="50">
        <f t="shared" si="1"/>
        <v>59487</v>
      </c>
      <c r="N34" s="44"/>
    </row>
    <row r="35" ht="16.5">
      <c r="N35" s="44"/>
    </row>
    <row r="36" ht="16.5">
      <c r="N36" s="44"/>
    </row>
    <row r="37" ht="16.5">
      <c r="N37" s="44"/>
    </row>
    <row r="38" ht="16.5">
      <c r="N38" s="44"/>
    </row>
    <row r="39" ht="16.5">
      <c r="N39" s="44"/>
    </row>
    <row r="40" ht="16.5">
      <c r="N40" s="44"/>
    </row>
  </sheetData>
  <sheetProtection password="F3CB" sheet="1" objects="1" scenarios="1"/>
  <protectedRanges>
    <protectedRange sqref="E5:L33" name="Omr?de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NOVO NORDISK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KEIDING</dc:creator>
  <cp:keywords/>
  <dc:description/>
  <cp:lastModifiedBy>Kristian Rasmussen</cp:lastModifiedBy>
  <cp:lastPrinted>2008-08-10T09:40:25Z</cp:lastPrinted>
  <dcterms:created xsi:type="dcterms:W3CDTF">2000-08-12T16:15:10Z</dcterms:created>
  <dcterms:modified xsi:type="dcterms:W3CDTF">2009-06-07T20:27:06Z</dcterms:modified>
  <cp:category/>
  <cp:version/>
  <cp:contentType/>
  <cp:contentStatus/>
</cp:coreProperties>
</file>