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28" windowHeight="11760" activeTab="0"/>
  </bookViews>
  <sheets>
    <sheet name="Vandregnskab " sheetId="1" r:id="rId1"/>
    <sheet name="Antal hoveder" sheetId="2" r:id="rId2"/>
    <sheet name="Aflæsninger" sheetId="3" r:id="rId3"/>
    <sheet name="a conto bofæller" sheetId="4" r:id="rId4"/>
    <sheet name="a conto fælleshuset" sheetId="5" r:id="rId5"/>
    <sheet name="Vandtab på Gården" sheetId="6" r:id="rId6"/>
  </sheets>
  <definedNames/>
  <calcPr fullCalcOnLoad="1"/>
</workbook>
</file>

<file path=xl/sharedStrings.xml><?xml version="1.0" encoding="utf-8"?>
<sst xmlns="http://schemas.openxmlformats.org/spreadsheetml/2006/main" count="343" uniqueCount="193">
  <si>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</si>
  <si>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</si>
  <si>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</si>
  <si>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</si>
  <si>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</si>
  <si>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</si>
  <si>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</si>
  <si>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</si>
  <si>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</si>
  <si>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</si>
  <si>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</si>
  <si>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</si>
  <si>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</si>
  <si>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</si>
  <si>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</si>
  <si>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</si>
  <si>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</si>
  <si>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</si>
  <si>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</si>
  <si>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</si>
  <si>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</si>
  <si>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</si>
  <si>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</si>
  <si>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personer</t>
  </si>
  <si>
    <t>Antal</t>
  </si>
  <si>
    <r>
      <t>m</t>
    </r>
    <r>
      <rPr>
        <vertAlign val="superscript"/>
        <sz val="10"/>
        <rFont val="Arial"/>
        <family val="2"/>
      </rPr>
      <t>3</t>
    </r>
  </si>
  <si>
    <t>kr.</t>
  </si>
  <si>
    <t>Hus nr.</t>
  </si>
  <si>
    <t>A cto.</t>
  </si>
  <si>
    <t>Vandforbrug</t>
  </si>
  <si>
    <t>pr. hus</t>
  </si>
  <si>
    <t>Total udgift:</t>
  </si>
  <si>
    <t>årlig.</t>
  </si>
  <si>
    <t>i alt</t>
  </si>
  <si>
    <t>m3</t>
  </si>
  <si>
    <t>kr</t>
  </si>
  <si>
    <t>Totalt for husstande</t>
  </si>
  <si>
    <t>Totalt for fælleshus</t>
  </si>
  <si>
    <r>
      <t>gruppe</t>
    </r>
    <r>
      <rPr>
        <sz val="7"/>
        <rFont val="Arial"/>
        <family val="2"/>
      </rPr>
      <t xml:space="preserve"> </t>
    </r>
  </si>
  <si>
    <t>gruppe</t>
  </si>
  <si>
    <t xml:space="preserve"> Opkrævet af kommunen</t>
  </si>
  <si>
    <r>
      <t xml:space="preserve"> Beregnet pris i kr/m</t>
    </r>
    <r>
      <rPr>
        <vertAlign val="superscript"/>
        <sz val="10"/>
        <rFont val="Arial"/>
        <family val="2"/>
      </rPr>
      <t>3</t>
    </r>
  </si>
  <si>
    <t>Bimålere i alt</t>
  </si>
  <si>
    <t>Kontrol</t>
  </si>
  <si>
    <t>Indbetalt</t>
  </si>
  <si>
    <t xml:space="preserve">A conto </t>
  </si>
  <si>
    <t>næste år</t>
  </si>
  <si>
    <t>per GEF</t>
  </si>
  <si>
    <r>
      <t>Totalt antal m</t>
    </r>
    <r>
      <rPr>
        <vertAlign val="superscript"/>
        <sz val="10"/>
        <rFont val="Arial"/>
        <family val="2"/>
      </rPr>
      <t>3</t>
    </r>
  </si>
  <si>
    <r>
      <t>A conto-m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-pris:</t>
    </r>
  </si>
  <si>
    <t>Sidste år</t>
  </si>
  <si>
    <t>Ændring</t>
  </si>
  <si>
    <t>Difference</t>
  </si>
  <si>
    <t>Regulering</t>
  </si>
  <si>
    <t>Betaling</t>
  </si>
  <si>
    <t>Med tillæg for varmt vand fra Hus 26</t>
  </si>
  <si>
    <t xml:space="preserve"> Aflæsningerne eksl. Grønt vand</t>
  </si>
  <si>
    <t>Aflæsning</t>
  </si>
  <si>
    <t>Forbrug/dag</t>
  </si>
  <si>
    <t>Hovedmåler</t>
  </si>
  <si>
    <t>Grønt vand</t>
  </si>
  <si>
    <t>Hoved - Grønt</t>
  </si>
  <si>
    <t>Bruges til at regne m3-prisen ud. Grønt vand fordeles hermed på alle</t>
  </si>
  <si>
    <t>Fyrgrupper</t>
  </si>
  <si>
    <t>1 til 3</t>
  </si>
  <si>
    <t>4 til 6</t>
  </si>
  <si>
    <t>7 til 8</t>
  </si>
  <si>
    <t>9 til 11</t>
  </si>
  <si>
    <t>12 til 14</t>
  </si>
  <si>
    <t>15 til 17</t>
  </si>
  <si>
    <t>18 til 20</t>
  </si>
  <si>
    <t>21 til 23</t>
  </si>
  <si>
    <t>26 inkl. Grønt vand</t>
  </si>
  <si>
    <t>I alt bimålere</t>
  </si>
  <si>
    <t>26 eksl. grønt vand</t>
  </si>
  <si>
    <t>Bruges til afregningen minus varmt vand til hus 24-25</t>
  </si>
  <si>
    <t>Varmt vand Hus 24-25</t>
  </si>
  <si>
    <t>Lægges til Hus 24-25 og trækkes fra Hus 26s forbrug</t>
  </si>
  <si>
    <t>Målt "privatforbrug"</t>
  </si>
  <si>
    <t>Gennemsnit fyrgrupper (minus 7-8)</t>
  </si>
  <si>
    <t>bakken27</t>
  </si>
  <si>
    <t>Differens mellem totalforbrug og registreret forbrug fra bimålerne fordeles ud på alle 27 husstande via GEF</t>
  </si>
  <si>
    <t>per</t>
  </si>
  <si>
    <t>person</t>
  </si>
  <si>
    <t>Næste år</t>
  </si>
  <si>
    <t>Vaskeri</t>
  </si>
  <si>
    <t>Fælleshus rent</t>
  </si>
  <si>
    <t>304714 - Bofællesskabet Bakken I/S</t>
  </si>
  <si>
    <t>Type</t>
  </si>
  <si>
    <t>Dato</t>
  </si>
  <si>
    <t>Bilag</t>
  </si>
  <si>
    <t>Tekst</t>
  </si>
  <si>
    <t>Moms</t>
  </si>
  <si>
    <t>Valuta</t>
  </si>
  <si>
    <t>Systempostering</t>
  </si>
  <si>
    <t>Fælleshusets vand a conto</t>
  </si>
  <si>
    <t>Gruppe</t>
  </si>
  <si>
    <t>Nr.</t>
  </si>
  <si>
    <t>Navn</t>
  </si>
  <si>
    <t>Omsætning</t>
  </si>
  <si>
    <t>Omkostninger</t>
  </si>
  <si>
    <t>Bruttofortj.</t>
  </si>
  <si>
    <t>Bruttofortj. i %</t>
  </si>
  <si>
    <t>Vand</t>
  </si>
  <si>
    <t>Vand a conto - Hus 1</t>
  </si>
  <si>
    <t>100,00%</t>
  </si>
  <si>
    <t>Vand a conto - Hus 2</t>
  </si>
  <si>
    <t>Vand a conto - Hus 3</t>
  </si>
  <si>
    <t>Vand a conto - Hus 4</t>
  </si>
  <si>
    <t>Vand a conto - Hus 5</t>
  </si>
  <si>
    <t>Vand a conto - Hus 6</t>
  </si>
  <si>
    <t>Vand a conto - Hus 7</t>
  </si>
  <si>
    <t>Vand a conto - Hus 8</t>
  </si>
  <si>
    <t>Vand a conto - Hus 9</t>
  </si>
  <si>
    <t>Vand a conto - Hus 10</t>
  </si>
  <si>
    <t>Vand a conto - Hus 11</t>
  </si>
  <si>
    <t>Vand a conto - Hus 12</t>
  </si>
  <si>
    <t>Vand a conto - Hus 13</t>
  </si>
  <si>
    <t>Vand a conto - Hus 14</t>
  </si>
  <si>
    <t>Vand a conto - Hus 15</t>
  </si>
  <si>
    <t>Vand a conto - Hus 16</t>
  </si>
  <si>
    <t>Vand a conto - Hus 17</t>
  </si>
  <si>
    <t>Vand a conto - Hus 18</t>
  </si>
  <si>
    <t>Vand a conto - Hus 19</t>
  </si>
  <si>
    <t>Vand a conto - Hus 20</t>
  </si>
  <si>
    <t>Vand a conto - Hus 21</t>
  </si>
  <si>
    <t>Vand a conto - Hus 22</t>
  </si>
  <si>
    <t>Vand a conto - Hus 23</t>
  </si>
  <si>
    <t>Vand a conto - Hus 24</t>
  </si>
  <si>
    <t>Vand a conto - Hus 25</t>
  </si>
  <si>
    <t>Vand a conto - Hus 26A</t>
  </si>
  <si>
    <t>Vand a conto - Hus 26C</t>
  </si>
  <si>
    <t>Vand i alt:</t>
  </si>
  <si>
    <t>Total:</t>
  </si>
  <si>
    <t>Tallene tages fra årets vaskeriregnskab</t>
  </si>
  <si>
    <t>Fra</t>
  </si>
  <si>
    <t>Til</t>
  </si>
  <si>
    <t>Snit</t>
  </si>
  <si>
    <t>I år</t>
  </si>
  <si>
    <t>Fælleshus samt Dif.:</t>
  </si>
  <si>
    <t>Vandforbrug 1. januar til den 31. december</t>
  </si>
  <si>
    <t>Hovedmåler - bimålere (Diff)</t>
  </si>
  <si>
    <t>Finansbilag</t>
  </si>
  <si>
    <t>Forbrug</t>
  </si>
  <si>
    <t xml:space="preserve"> over 2 år</t>
  </si>
  <si>
    <t>Kundenr</t>
  </si>
  <si>
    <t>Målernr</t>
  </si>
  <si>
    <t>Hus 23</t>
  </si>
  <si>
    <t>Hus 20</t>
  </si>
  <si>
    <t>Hus 26C</t>
  </si>
  <si>
    <t>m3/ hoved</t>
  </si>
  <si>
    <t>R&amp;AG</t>
  </si>
  <si>
    <t>Antal hoveder</t>
  </si>
  <si>
    <t>Antal måneder</t>
  </si>
  <si>
    <t>m3 / hoved</t>
  </si>
  <si>
    <t>A conto pris m3</t>
  </si>
  <si>
    <t>Spild i kroner</t>
  </si>
  <si>
    <t>2013 Hus 26</t>
  </si>
  <si>
    <t>Hus 26C årligt</t>
  </si>
  <si>
    <t>Minus varmt vand til Hus 24 og 25 samt vandspild</t>
  </si>
  <si>
    <t>Minus vandspild</t>
  </si>
  <si>
    <t>I alt m3 2014</t>
  </si>
  <si>
    <t>Målt 2014</t>
  </si>
  <si>
    <t>Spild 2014</t>
  </si>
  <si>
    <t>Rapporter » Kunder »</t>
  </si>
  <si>
    <t>Omsætningsstatistik for varer - perioden 01.01.14 - 31.12.14 - (enheder - Alle)</t>
  </si>
  <si>
    <t>Vand regulering</t>
  </si>
  <si>
    <t>Rapporter » Regnskab</t>
  </si>
  <si>
    <t>Posteringer for perioden 01.01.14 - 31.12.14</t>
  </si>
  <si>
    <t>Konto</t>
  </si>
  <si>
    <t>Beløb</t>
  </si>
  <si>
    <t>Saldo</t>
  </si>
  <si>
    <t>Regulering 2013</t>
  </si>
  <si>
    <t>Tomt</t>
  </si>
  <si>
    <t>Varmt</t>
  </si>
  <si>
    <t>vand</t>
  </si>
  <si>
    <t>Forventet refusion</t>
  </si>
  <si>
    <t>Hensættes som forventet omkostning</t>
  </si>
  <si>
    <t>Vandspild</t>
  </si>
  <si>
    <t>Hus 4</t>
  </si>
  <si>
    <t>Hus 9</t>
  </si>
  <si>
    <t>Hus 10</t>
  </si>
  <si>
    <t>Hus 18</t>
  </si>
  <si>
    <t>Hus 21</t>
  </si>
  <si>
    <t>Hus 25</t>
  </si>
  <si>
    <t>Hus 26 st</t>
  </si>
  <si>
    <t>26 st</t>
  </si>
  <si>
    <t>26 1.</t>
  </si>
  <si>
    <t>Thor fylder 3 år d. 27/7 2016</t>
  </si>
  <si>
    <t>Mateo fylder 3 år d. 6/12 2015</t>
  </si>
  <si>
    <t>Villy fyldte 3 år d. 5/9 2014</t>
  </si>
  <si>
    <t>August fylder 3 år d. 4/5 2016</t>
  </si>
  <si>
    <t>Vandregnskab 2014 Version 3 - endelig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</si>
</sst>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"/>
    <numFmt numFmtId="174" formatCode="#,##0.000"/>
    <numFmt numFmtId="175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3" applyNumberFormat="0" applyAlignment="0" applyProtection="0"/>
    <xf numFmtId="0" fontId="1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0" fillId="33" borderId="0" xfId="0" applyFont="1" applyFill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left"/>
    </xf>
    <xf numFmtId="3" fontId="0" fillId="33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49" fontId="47" fillId="0" borderId="0" xfId="0" applyNumberFormat="1" applyFont="1" applyAlignment="1">
      <alignment horizontal="right" wrapText="1"/>
    </xf>
    <xf numFmtId="14" fontId="48" fillId="0" borderId="0" xfId="0" applyNumberFormat="1" applyFont="1" applyAlignment="1">
      <alignment wrapText="1"/>
    </xf>
    <xf numFmtId="1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 horizontal="right" wrapText="1"/>
    </xf>
    <xf numFmtId="49" fontId="48" fillId="0" borderId="0" xfId="0" applyNumberFormat="1" applyFont="1" applyAlignment="1">
      <alignment horizontal="right" wrapText="1"/>
    </xf>
    <xf numFmtId="4" fontId="47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49" fontId="47" fillId="0" borderId="0" xfId="0" applyNumberFormat="1" applyFont="1" applyAlignment="1">
      <alignment wrapText="1"/>
    </xf>
    <xf numFmtId="49" fontId="48" fillId="0" borderId="0" xfId="0" applyNumberFormat="1" applyFont="1" applyAlignment="1">
      <alignment wrapText="1"/>
    </xf>
    <xf numFmtId="2" fontId="0" fillId="0" borderId="11" xfId="0" applyNumberFormat="1" applyBorder="1" applyAlignment="1">
      <alignment/>
    </xf>
    <xf numFmtId="3" fontId="49" fillId="0" borderId="0" xfId="0" applyNumberFormat="1" applyFont="1" applyAlignment="1">
      <alignment horizontal="center"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11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3" fontId="49" fillId="0" borderId="0" xfId="0" applyNumberFormat="1" applyFont="1" applyBorder="1" applyAlignment="1">
      <alignment horizontal="left"/>
    </xf>
    <xf numFmtId="3" fontId="49" fillId="0" borderId="0" xfId="0" applyNumberFormat="1" applyFont="1" applyBorder="1" applyAlignment="1">
      <alignment horizontal="right"/>
    </xf>
    <xf numFmtId="0" fontId="0" fillId="34" borderId="0" xfId="0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49" fontId="47" fillId="0" borderId="0" xfId="0" applyNumberFormat="1" applyFont="1" applyAlignment="1">
      <alignment wrapText="1"/>
    </xf>
    <xf numFmtId="49" fontId="48" fillId="0" borderId="0" xfId="0" applyNumberFormat="1" applyFont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8515625" style="0" bestFit="1" customWidth="1"/>
    <col min="4" max="4" width="8.7109375" style="0" customWidth="1"/>
    <col min="5" max="5" width="20.00390625" style="21" customWidth="1"/>
    <col min="6" max="6" width="11.7109375" style="0" bestFit="1" customWidth="1"/>
    <col min="7" max="7" width="9.140625" style="0" customWidth="1"/>
    <col min="8" max="8" width="10.7109375" style="0" customWidth="1"/>
    <col min="10" max="10" width="10.8515625" style="0" bestFit="1" customWidth="1"/>
    <col min="11" max="11" width="8.57421875" style="0" customWidth="1"/>
  </cols>
  <sheetData>
    <row r="1" ht="17.25">
      <c r="A1" s="18" t="s">
        <v>192</v>
      </c>
    </row>
    <row r="2" spans="4:11" ht="12.75">
      <c r="D2" s="1" t="s">
        <v>138</v>
      </c>
      <c r="G2" s="1" t="s">
        <v>50</v>
      </c>
      <c r="H2" s="1" t="s">
        <v>51</v>
      </c>
      <c r="J2" t="s">
        <v>84</v>
      </c>
      <c r="K2" s="1" t="s">
        <v>51</v>
      </c>
    </row>
    <row r="4" spans="1:11" ht="15">
      <c r="A4" s="36" t="s">
        <v>48</v>
      </c>
      <c r="B4" s="36"/>
      <c r="C4" s="19"/>
      <c r="D4" s="72">
        <f>Aflæsninger!E8</f>
        <v>3130</v>
      </c>
      <c r="E4" s="21" t="s">
        <v>56</v>
      </c>
      <c r="G4" s="47">
        <v>3073</v>
      </c>
      <c r="H4" s="42">
        <f>($D4-$G4)/$G4</f>
        <v>0.01854864952814839</v>
      </c>
      <c r="J4" s="47">
        <v>2800</v>
      </c>
      <c r="K4" s="125">
        <f>($J4-$G4)/$D4</f>
        <v>-0.08722044728434505</v>
      </c>
    </row>
    <row r="5" spans="1:11" ht="12.75">
      <c r="A5" s="36"/>
      <c r="B5" s="36"/>
      <c r="C5" s="19"/>
      <c r="D5" s="6"/>
      <c r="G5" s="6"/>
      <c r="J5" s="6"/>
      <c r="K5" s="126"/>
    </row>
    <row r="6" spans="1:11" ht="12.75">
      <c r="A6" s="36" t="s">
        <v>31</v>
      </c>
      <c r="B6" s="36"/>
      <c r="C6" s="19"/>
      <c r="D6" s="47">
        <v>208711</v>
      </c>
      <c r="E6" s="31" t="s">
        <v>40</v>
      </c>
      <c r="G6" s="47">
        <v>206532.29</v>
      </c>
      <c r="H6" s="42">
        <f>($D6-$G6)/$G6</f>
        <v>0.010549004225925116</v>
      </c>
      <c r="J6" s="47">
        <v>189684</v>
      </c>
      <c r="K6" s="125">
        <f>($J6-$G6)/$D6</f>
        <v>-0.08072545289898476</v>
      </c>
    </row>
    <row r="7" spans="1:11" ht="12.75">
      <c r="A7" s="137"/>
      <c r="B7" s="137"/>
      <c r="C7" s="3"/>
      <c r="E7" s="5"/>
      <c r="I7" s="3"/>
      <c r="J7" s="3"/>
      <c r="K7" s="126"/>
    </row>
    <row r="8" spans="1:11" ht="15">
      <c r="A8" s="36" t="s">
        <v>49</v>
      </c>
      <c r="B8" s="36"/>
      <c r="C8" s="19"/>
      <c r="D8" s="44">
        <f>D6/D4</f>
        <v>66.68083067092651</v>
      </c>
      <c r="E8" s="21" t="s">
        <v>41</v>
      </c>
      <c r="G8" s="44">
        <f>G6/G4</f>
        <v>67.20868532378783</v>
      </c>
      <c r="H8" s="42">
        <f>($D8-$G8)/$G8</f>
        <v>-0.007853964860617398</v>
      </c>
      <c r="J8" s="44">
        <f>J6/J4</f>
        <v>67.74428571428571</v>
      </c>
      <c r="K8" s="125">
        <f>($J8-$G8)/$D8</f>
        <v>0.008032299314642511</v>
      </c>
    </row>
    <row r="9" spans="1:3" ht="12.75">
      <c r="A9" s="3"/>
      <c r="B9" s="3"/>
      <c r="C9" s="3"/>
    </row>
    <row r="10" spans="1:8" ht="12.75">
      <c r="A10" s="3"/>
      <c r="B10" s="3"/>
      <c r="C10" s="3"/>
      <c r="G10" t="s">
        <v>44</v>
      </c>
      <c r="H10" s="21"/>
    </row>
    <row r="11" spans="1:10" ht="12.75">
      <c r="A11" s="7"/>
      <c r="B11" s="8" t="s">
        <v>24</v>
      </c>
      <c r="C11" s="8" t="s">
        <v>29</v>
      </c>
      <c r="D11" s="26" t="s">
        <v>174</v>
      </c>
      <c r="E11" s="30" t="s">
        <v>29</v>
      </c>
      <c r="F11" s="8" t="s">
        <v>29</v>
      </c>
      <c r="G11" s="8" t="s">
        <v>28</v>
      </c>
      <c r="H11" s="30" t="s">
        <v>53</v>
      </c>
      <c r="I11" s="8" t="s">
        <v>45</v>
      </c>
      <c r="J11" s="8" t="s">
        <v>29</v>
      </c>
    </row>
    <row r="12" spans="1:10" ht="12.75">
      <c r="A12" s="7"/>
      <c r="B12" s="8" t="s">
        <v>23</v>
      </c>
      <c r="C12" s="26" t="s">
        <v>38</v>
      </c>
      <c r="D12" s="26" t="s">
        <v>175</v>
      </c>
      <c r="E12" s="30" t="s">
        <v>39</v>
      </c>
      <c r="F12" s="8" t="s">
        <v>30</v>
      </c>
      <c r="G12" s="8" t="s">
        <v>32</v>
      </c>
      <c r="H12" s="30" t="s">
        <v>54</v>
      </c>
      <c r="I12" s="8" t="s">
        <v>47</v>
      </c>
      <c r="J12" s="8" t="s">
        <v>82</v>
      </c>
    </row>
    <row r="13" spans="1:10" ht="15">
      <c r="A13" s="8" t="s">
        <v>27</v>
      </c>
      <c r="B13" s="8" t="s">
        <v>144</v>
      </c>
      <c r="C13" s="8" t="s">
        <v>25</v>
      </c>
      <c r="D13" s="8"/>
      <c r="E13" s="30" t="s">
        <v>26</v>
      </c>
      <c r="F13" s="8" t="s">
        <v>26</v>
      </c>
      <c r="G13" s="8" t="s">
        <v>26</v>
      </c>
      <c r="H13" s="30"/>
      <c r="I13" s="8" t="s">
        <v>46</v>
      </c>
      <c r="J13" s="8" t="s">
        <v>83</v>
      </c>
    </row>
    <row r="14" spans="4:8" ht="12.75">
      <c r="D14" s="5"/>
      <c r="E14" s="5"/>
      <c r="F14" s="5"/>
      <c r="G14" s="1"/>
      <c r="H14" s="5"/>
    </row>
    <row r="15" spans="1:10" ht="12.75">
      <c r="A15" s="2" t="s">
        <v>0</v>
      </c>
      <c r="B15" s="83">
        <v>4</v>
      </c>
      <c r="C15" s="3"/>
      <c r="D15" s="5"/>
      <c r="E15" s="5"/>
      <c r="F15" s="5">
        <f>$E$16/$B$18*B15</f>
        <v>9098.22889598864</v>
      </c>
      <c r="G15" s="5">
        <f>'a conto bofæller'!E7</f>
        <v>8618</v>
      </c>
      <c r="H15" s="5">
        <f>F15-G15</f>
        <v>480.2288959886391</v>
      </c>
      <c r="I15" s="5">
        <f>(F15)/6*(1+K$8)</f>
        <v>1528.5514322857248</v>
      </c>
      <c r="J15" s="5"/>
    </row>
    <row r="16" spans="1:10" ht="12.75">
      <c r="A16" s="2" t="s">
        <v>1</v>
      </c>
      <c r="B16" s="83">
        <v>1</v>
      </c>
      <c r="C16" s="35">
        <f>Aflæsninger!E12</f>
        <v>307</v>
      </c>
      <c r="D16" s="5"/>
      <c r="E16" s="5">
        <f>(C16*$D$8)</f>
        <v>20471.015015974437</v>
      </c>
      <c r="F16" s="5">
        <f>$E$16/$B$18*B16</f>
        <v>2274.55722399716</v>
      </c>
      <c r="G16" s="5">
        <f>'a conto bofæller'!E8</f>
        <v>2263</v>
      </c>
      <c r="H16" s="5">
        <f>F16-G16</f>
        <v>11.557223997159781</v>
      </c>
      <c r="I16" s="5">
        <f aca="true" t="shared" si="0" ref="I16:I50">(F16)/6*(1+K$8)</f>
        <v>382.1378580714312</v>
      </c>
      <c r="J16" s="5">
        <f>C16/B18</f>
        <v>34.111111111111114</v>
      </c>
    </row>
    <row r="17" spans="1:10" ht="12.75">
      <c r="A17" s="2" t="s">
        <v>2</v>
      </c>
      <c r="B17" s="84">
        <v>4</v>
      </c>
      <c r="C17" s="3"/>
      <c r="D17" s="5"/>
      <c r="E17" s="5"/>
      <c r="F17" s="5">
        <f>$E$16/$B$18*B17</f>
        <v>9098.22889598864</v>
      </c>
      <c r="G17" s="16">
        <f>'a conto bofæller'!E9</f>
        <v>9066</v>
      </c>
      <c r="H17" s="16">
        <f>F17-G17</f>
        <v>32.228895988639124</v>
      </c>
      <c r="I17" s="16">
        <f t="shared" si="0"/>
        <v>1528.5514322857248</v>
      </c>
      <c r="J17" s="16"/>
    </row>
    <row r="18" spans="1:10" ht="12.75">
      <c r="A18" s="9" t="s">
        <v>33</v>
      </c>
      <c r="B18" s="25">
        <f>SUM(B15:B17)</f>
        <v>9</v>
      </c>
      <c r="C18" s="10"/>
      <c r="D18" s="11"/>
      <c r="E18" s="11"/>
      <c r="F18" s="11"/>
      <c r="G18" s="5" t="s">
        <v>3</v>
      </c>
      <c r="H18" s="5"/>
      <c r="I18" s="5"/>
      <c r="J18" s="5"/>
    </row>
    <row r="19" spans="1:10" ht="12.75">
      <c r="A19" s="12" t="s">
        <v>4</v>
      </c>
      <c r="B19" s="83">
        <v>2.4</v>
      </c>
      <c r="C19" s="46"/>
      <c r="D19" s="14"/>
      <c r="E19" s="14"/>
      <c r="F19" s="5">
        <f>$E$20/$B$22*B19</f>
        <v>5426.1525958466445</v>
      </c>
      <c r="G19" s="5">
        <f>'a conto bofæller'!E10</f>
        <v>4720</v>
      </c>
      <c r="H19" s="5">
        <f>F19-G19</f>
        <v>706.1525958466445</v>
      </c>
      <c r="I19" s="5">
        <f t="shared" si="0"/>
        <v>911.6228462705682</v>
      </c>
      <c r="J19" s="5"/>
    </row>
    <row r="20" spans="1:10" ht="12.75">
      <c r="A20" s="12" t="s">
        <v>5</v>
      </c>
      <c r="B20" s="83">
        <v>2</v>
      </c>
      <c r="C20" s="68">
        <f>Aflæsninger!E13</f>
        <v>217</v>
      </c>
      <c r="D20" s="5"/>
      <c r="E20" s="14">
        <f>C20*$D$8</f>
        <v>14469.740255591052</v>
      </c>
      <c r="F20" s="5">
        <f>$E$20/$B$22*B20</f>
        <v>4521.793829872204</v>
      </c>
      <c r="G20" s="5">
        <f>'a conto bofæller'!E11</f>
        <v>4720</v>
      </c>
      <c r="H20" s="5">
        <f>F20-G20</f>
        <v>-198.2061701277962</v>
      </c>
      <c r="I20" s="5">
        <f t="shared" si="0"/>
        <v>759.6857052254735</v>
      </c>
      <c r="J20" s="5">
        <f>C20/B22</f>
        <v>33.90625</v>
      </c>
    </row>
    <row r="21" spans="1:10" ht="12.75">
      <c r="A21" s="15" t="s">
        <v>6</v>
      </c>
      <c r="B21" s="84">
        <v>2</v>
      </c>
      <c r="C21" s="45"/>
      <c r="D21" s="16"/>
      <c r="E21" s="16"/>
      <c r="F21" s="16">
        <f>$E$20/$B$22*B21</f>
        <v>4521.793829872204</v>
      </c>
      <c r="G21" s="16">
        <f>'a conto bofæller'!E12</f>
        <v>4966</v>
      </c>
      <c r="H21" s="16">
        <f>F21-G21</f>
        <v>-444.2061701277962</v>
      </c>
      <c r="I21" s="16">
        <f t="shared" si="0"/>
        <v>759.6857052254735</v>
      </c>
      <c r="J21" s="16"/>
    </row>
    <row r="22" spans="1:10" ht="12.75">
      <c r="A22" s="2" t="s">
        <v>33</v>
      </c>
      <c r="B22" s="25">
        <f>SUM(B19:B21)</f>
        <v>6.4</v>
      </c>
      <c r="C22" s="4"/>
      <c r="D22" s="5"/>
      <c r="E22" s="5"/>
      <c r="F22" s="5"/>
      <c r="G22" s="5"/>
      <c r="H22" s="5"/>
      <c r="I22" s="5"/>
      <c r="J22" s="5"/>
    </row>
    <row r="23" spans="1:10" ht="12.75">
      <c r="A23" s="2" t="s">
        <v>7</v>
      </c>
      <c r="B23" s="83">
        <v>2</v>
      </c>
      <c r="C23" s="35">
        <f>Aflæsninger!E14</f>
        <v>157</v>
      </c>
      <c r="D23" s="5"/>
      <c r="E23" s="5">
        <f>C23*$D$8</f>
        <v>10468.890415335462</v>
      </c>
      <c r="F23" s="5">
        <f>$E$23/$B$25*B23</f>
        <v>4187.556166134184</v>
      </c>
      <c r="G23" s="5">
        <f>'a conto bofæller'!E13</f>
        <v>3720</v>
      </c>
      <c r="H23" s="5">
        <f>F23-G23</f>
        <v>467.5561661341844</v>
      </c>
      <c r="I23" s="5">
        <f t="shared" si="0"/>
        <v>703.5319784429086</v>
      </c>
      <c r="J23" s="5">
        <f>C23/B25</f>
        <v>31.4</v>
      </c>
    </row>
    <row r="24" spans="1:10" ht="12.75">
      <c r="A24" s="2" t="s">
        <v>8</v>
      </c>
      <c r="B24" s="84">
        <v>3</v>
      </c>
      <c r="C24" s="35"/>
      <c r="D24" s="5"/>
      <c r="E24" s="5"/>
      <c r="F24" s="5">
        <f>$E$23/$B$25*B24</f>
        <v>6281.334249201276</v>
      </c>
      <c r="G24" s="16">
        <f>'a conto bofæller'!E12</f>
        <v>4966</v>
      </c>
      <c r="H24" s="16">
        <f>F24-G24</f>
        <v>1315.3342492012762</v>
      </c>
      <c r="I24" s="16">
        <f t="shared" si="0"/>
        <v>1055.2979676643627</v>
      </c>
      <c r="J24" s="16"/>
    </row>
    <row r="25" spans="1:10" ht="12.75">
      <c r="A25" s="9" t="s">
        <v>33</v>
      </c>
      <c r="B25" s="25">
        <f>SUM(B23:B24)</f>
        <v>5</v>
      </c>
      <c r="C25" s="70"/>
      <c r="D25" s="11"/>
      <c r="E25" s="11"/>
      <c r="F25" s="11"/>
      <c r="G25" s="5"/>
      <c r="H25" s="5"/>
      <c r="I25" s="5"/>
      <c r="J25" s="5"/>
    </row>
    <row r="26" spans="1:10" ht="12.75">
      <c r="A26" s="12" t="s">
        <v>9</v>
      </c>
      <c r="B26" s="83">
        <v>2.65</v>
      </c>
      <c r="C26" s="68"/>
      <c r="D26" s="14"/>
      <c r="E26" s="14"/>
      <c r="F26" s="5">
        <f>$E$27/$B$29*B26</f>
        <v>6062.654604515619</v>
      </c>
      <c r="G26" s="5">
        <f>'a conto bofæller'!E15</f>
        <v>6808</v>
      </c>
      <c r="H26" s="5">
        <f>F26-G26</f>
        <v>-745.3453954843808</v>
      </c>
      <c r="I26" s="5">
        <f t="shared" si="0"/>
        <v>1018.5586101567307</v>
      </c>
      <c r="J26" s="5"/>
    </row>
    <row r="27" spans="1:10" ht="12.75">
      <c r="A27" s="12" t="s">
        <v>10</v>
      </c>
      <c r="B27" s="83">
        <v>2.52</v>
      </c>
      <c r="C27" s="68">
        <f>Aflæsninger!E15</f>
        <v>246</v>
      </c>
      <c r="D27" s="5"/>
      <c r="E27" s="14">
        <f>C27*$D$8</f>
        <v>16403.48434504792</v>
      </c>
      <c r="F27" s="5">
        <f>$E$27/$B$29*B27</f>
        <v>5765.241359765796</v>
      </c>
      <c r="G27" s="5">
        <f>'a conto bofæller'!E16</f>
        <v>6472</v>
      </c>
      <c r="H27" s="5">
        <f>F27-G27</f>
        <v>-706.758640234204</v>
      </c>
      <c r="I27" s="5">
        <f t="shared" si="0"/>
        <v>968.5915839980985</v>
      </c>
      <c r="J27" s="5">
        <f>C27/B29</f>
        <v>34.30962343096235</v>
      </c>
    </row>
    <row r="28" spans="1:10" ht="12.75">
      <c r="A28" s="15" t="s">
        <v>11</v>
      </c>
      <c r="B28" s="84">
        <v>2</v>
      </c>
      <c r="C28" s="71"/>
      <c r="D28" s="16"/>
      <c r="E28" s="16"/>
      <c r="F28" s="16">
        <f>$E$27/$B$29*B28</f>
        <v>4575.588380766505</v>
      </c>
      <c r="G28" s="16">
        <f>'a conto bofæller'!E17</f>
        <v>4311</v>
      </c>
      <c r="H28" s="16">
        <f>F28-G28</f>
        <v>264.588380766505</v>
      </c>
      <c r="I28" s="16">
        <f t="shared" si="0"/>
        <v>768.7234793635703</v>
      </c>
      <c r="J28" s="16"/>
    </row>
    <row r="29" spans="1:10" ht="12.75">
      <c r="A29" s="2" t="s">
        <v>33</v>
      </c>
      <c r="B29" s="4">
        <f>SUM(B26:B28)</f>
        <v>7.17</v>
      </c>
      <c r="C29" s="48"/>
      <c r="D29" s="5"/>
      <c r="E29" s="5"/>
      <c r="F29" s="5"/>
      <c r="G29" s="5"/>
      <c r="H29" s="5"/>
      <c r="I29" s="5"/>
      <c r="J29" s="5"/>
    </row>
    <row r="30" spans="1:10" ht="12.75">
      <c r="A30" s="2">
        <v>12</v>
      </c>
      <c r="B30" s="83">
        <v>4</v>
      </c>
      <c r="C30" s="35"/>
      <c r="D30" s="5"/>
      <c r="E30" s="5"/>
      <c r="F30" s="5">
        <f>$E$31/$B$33*B30</f>
        <v>9359.56386871914</v>
      </c>
      <c r="G30" s="5">
        <f>'a conto bofæller'!E18</f>
        <v>10097</v>
      </c>
      <c r="H30" s="5">
        <f aca="true" t="shared" si="1" ref="H30:H36">F30-G30</f>
        <v>-737.4361312808596</v>
      </c>
      <c r="I30" s="5">
        <f t="shared" si="0"/>
        <v>1572.4571145278674</v>
      </c>
      <c r="J30" s="5"/>
    </row>
    <row r="31" spans="1:10" ht="12.75">
      <c r="A31" s="2">
        <v>13</v>
      </c>
      <c r="B31" s="83">
        <v>2</v>
      </c>
      <c r="C31" s="35">
        <f>Aflæsninger!E16</f>
        <v>386</v>
      </c>
      <c r="D31" s="5"/>
      <c r="E31" s="5">
        <f>C31*$D$8</f>
        <v>25738.800638977635</v>
      </c>
      <c r="F31" s="5">
        <f>$E$31/$B$33*B31</f>
        <v>4679.78193435957</v>
      </c>
      <c r="G31" s="5">
        <f>'a conto bofæller'!E19</f>
        <v>5051</v>
      </c>
      <c r="H31" s="5">
        <f t="shared" si="1"/>
        <v>-371.2180656404298</v>
      </c>
      <c r="I31" s="5">
        <f t="shared" si="0"/>
        <v>786.2285572639337</v>
      </c>
      <c r="J31" s="5">
        <f>C31/B33</f>
        <v>35.09090909090909</v>
      </c>
    </row>
    <row r="32" spans="1:10" ht="12.75">
      <c r="A32" s="2">
        <v>14</v>
      </c>
      <c r="B32" s="84">
        <v>5</v>
      </c>
      <c r="C32" s="35"/>
      <c r="D32" s="5"/>
      <c r="E32" s="5"/>
      <c r="F32" s="5">
        <f>$E$31/$B$33*B32</f>
        <v>11699.454835898925</v>
      </c>
      <c r="G32" s="16">
        <f>'a conto bofæller'!E20</f>
        <v>12411</v>
      </c>
      <c r="H32" s="16">
        <f t="shared" si="1"/>
        <v>-711.545164101075</v>
      </c>
      <c r="I32" s="16">
        <f t="shared" si="0"/>
        <v>1965.5713931598343</v>
      </c>
      <c r="J32" s="16"/>
    </row>
    <row r="33" spans="1:10" ht="12.75">
      <c r="A33" s="9" t="s">
        <v>33</v>
      </c>
      <c r="B33" s="25">
        <f>SUM(B30:B32)</f>
        <v>11</v>
      </c>
      <c r="C33" s="70"/>
      <c r="D33" s="11"/>
      <c r="E33" s="11"/>
      <c r="F33" s="11"/>
      <c r="G33" s="5"/>
      <c r="H33" s="5"/>
      <c r="I33" s="5"/>
      <c r="J33" s="5"/>
    </row>
    <row r="34" spans="1:10" ht="12.75">
      <c r="A34" s="12" t="s">
        <v>12</v>
      </c>
      <c r="B34" s="83">
        <v>2</v>
      </c>
      <c r="C34" s="68"/>
      <c r="D34" s="14"/>
      <c r="E34" s="14"/>
      <c r="F34" s="5">
        <f>$E$35/$B$37*B34</f>
        <v>4467.6156549520765</v>
      </c>
      <c r="G34" s="5">
        <f>'a conto bofæller'!E21</f>
        <v>4752</v>
      </c>
      <c r="H34" s="5">
        <f t="shared" si="1"/>
        <v>-284.3843450479235</v>
      </c>
      <c r="I34" s="5">
        <f t="shared" si="0"/>
        <v>750.5834801859057</v>
      </c>
      <c r="J34" s="5"/>
    </row>
    <row r="35" spans="1:10" ht="12.75">
      <c r="A35" s="12" t="s">
        <v>22</v>
      </c>
      <c r="B35" s="83">
        <v>2</v>
      </c>
      <c r="C35" s="68">
        <f>Aflæsninger!E17</f>
        <v>201</v>
      </c>
      <c r="D35" s="5"/>
      <c r="E35" s="14">
        <f>C35*$D$8</f>
        <v>13402.84696485623</v>
      </c>
      <c r="F35" s="5">
        <f>$E$35/$B$37*B35</f>
        <v>4467.6156549520765</v>
      </c>
      <c r="G35" s="5">
        <f>'a conto bofæller'!E22</f>
        <v>4752</v>
      </c>
      <c r="H35" s="5">
        <f t="shared" si="1"/>
        <v>-284.3843450479235</v>
      </c>
      <c r="I35" s="5">
        <f t="shared" si="0"/>
        <v>750.5834801859057</v>
      </c>
      <c r="J35" s="5">
        <f>C35/B37</f>
        <v>33.5</v>
      </c>
    </row>
    <row r="36" spans="1:10" ht="12.75">
      <c r="A36" s="15" t="s">
        <v>13</v>
      </c>
      <c r="B36" s="84">
        <v>2</v>
      </c>
      <c r="C36" s="71"/>
      <c r="D36" s="16"/>
      <c r="E36" s="16"/>
      <c r="F36" s="5">
        <f>$E$35/$B$37*B36</f>
        <v>4467.6156549520765</v>
      </c>
      <c r="G36" s="16">
        <f>'a conto bofæller'!E23</f>
        <v>4752</v>
      </c>
      <c r="H36" s="16">
        <f t="shared" si="1"/>
        <v>-284.3843450479235</v>
      </c>
      <c r="I36" s="16">
        <f t="shared" si="0"/>
        <v>750.5834801859057</v>
      </c>
      <c r="J36" s="16"/>
    </row>
    <row r="37" spans="1:10" ht="12.75">
      <c r="A37" s="2" t="s">
        <v>33</v>
      </c>
      <c r="B37" s="25">
        <f>SUM(B34:B36)</f>
        <v>6</v>
      </c>
      <c r="C37" s="48"/>
      <c r="D37" s="5"/>
      <c r="E37" s="5"/>
      <c r="F37" s="11"/>
      <c r="G37" s="5"/>
      <c r="H37" s="5"/>
      <c r="I37" s="5"/>
      <c r="J37" s="5"/>
    </row>
    <row r="38" spans="1:10" ht="12.75">
      <c r="A38" s="2" t="s">
        <v>14</v>
      </c>
      <c r="B38" s="83">
        <v>2.4</v>
      </c>
      <c r="C38" s="35"/>
      <c r="D38" s="5"/>
      <c r="E38" s="5"/>
      <c r="F38" s="5">
        <f>$E$39/$B$41*B38</f>
        <v>5978.163304310022</v>
      </c>
      <c r="G38" s="5">
        <f>'a conto bofæller'!E24</f>
        <v>5010</v>
      </c>
      <c r="H38" s="5">
        <f>F38-G38</f>
        <v>968.1633043100219</v>
      </c>
      <c r="I38" s="5">
        <f t="shared" si="0"/>
        <v>1004.3636168870087</v>
      </c>
      <c r="J38" s="5"/>
    </row>
    <row r="39" spans="1:10" ht="12.75">
      <c r="A39" s="2" t="s">
        <v>15</v>
      </c>
      <c r="B39" s="83">
        <v>2</v>
      </c>
      <c r="C39" s="35">
        <f>Aflæsninger!E18</f>
        <v>291</v>
      </c>
      <c r="D39" s="5"/>
      <c r="E39" s="5">
        <f>C39*$D$8</f>
        <v>19404.121725239616</v>
      </c>
      <c r="F39" s="5">
        <f>$E$39/$B$41*B39</f>
        <v>4981.802753591685</v>
      </c>
      <c r="G39" s="5">
        <f>'a conto bofæller'!E25</f>
        <v>4823</v>
      </c>
      <c r="H39" s="5">
        <f>F39-G39</f>
        <v>158.80275359168536</v>
      </c>
      <c r="I39" s="5">
        <f t="shared" si="0"/>
        <v>836.9696807391739</v>
      </c>
      <c r="J39" s="5">
        <f>C39/B41</f>
        <v>37.355584082156604</v>
      </c>
    </row>
    <row r="40" spans="1:10" ht="12.75">
      <c r="A40" s="2" t="s">
        <v>16</v>
      </c>
      <c r="B40" s="83">
        <v>3.39</v>
      </c>
      <c r="C40" s="35"/>
      <c r="D40" s="5"/>
      <c r="E40" s="5"/>
      <c r="F40" s="5">
        <f>$E$39/$B$41*B40</f>
        <v>8444.155667337907</v>
      </c>
      <c r="G40" s="16">
        <f>'a conto bofæller'!E26</f>
        <v>7770</v>
      </c>
      <c r="H40" s="16">
        <f>F40-G40</f>
        <v>674.1556673379073</v>
      </c>
      <c r="I40" s="16">
        <f t="shared" si="0"/>
        <v>1418.6636088528999</v>
      </c>
      <c r="J40" s="16"/>
    </row>
    <row r="41" spans="1:10" ht="12.75">
      <c r="A41" s="9" t="s">
        <v>33</v>
      </c>
      <c r="B41" s="23">
        <f>SUM(B38:B40)</f>
        <v>7.790000000000001</v>
      </c>
      <c r="C41" s="70"/>
      <c r="D41" s="11"/>
      <c r="E41" s="11"/>
      <c r="F41" s="11"/>
      <c r="G41" s="5"/>
      <c r="H41" s="5"/>
      <c r="I41" s="5"/>
      <c r="J41" s="5"/>
    </row>
    <row r="42" spans="1:10" ht="12.75">
      <c r="A42" s="12" t="s">
        <v>17</v>
      </c>
      <c r="B42" s="83">
        <v>3.59</v>
      </c>
      <c r="C42" s="68"/>
      <c r="D42" s="14"/>
      <c r="E42" s="14"/>
      <c r="F42" s="5">
        <f>$E$43/$B$45*B42</f>
        <v>6521.059209943949</v>
      </c>
      <c r="G42" s="5">
        <f>'a conto bofæller'!E27</f>
        <v>7612</v>
      </c>
      <c r="H42" s="5">
        <f>F42-G42</f>
        <v>-1090.940790056051</v>
      </c>
      <c r="I42" s="5">
        <f t="shared" si="0"/>
        <v>1095.5730515611208</v>
      </c>
      <c r="J42" s="5"/>
    </row>
    <row r="43" spans="1:10" ht="12.75">
      <c r="A43" s="12" t="s">
        <v>18</v>
      </c>
      <c r="B43" s="83">
        <v>2</v>
      </c>
      <c r="C43" s="68">
        <f>Aflæsninger!E19</f>
        <v>234</v>
      </c>
      <c r="D43" s="5"/>
      <c r="E43" s="14">
        <f>C43*$D$8</f>
        <v>15603.314376996803</v>
      </c>
      <c r="F43" s="5">
        <f>$E$43/$B$45*B43</f>
        <v>3632.9020668211415</v>
      </c>
      <c r="G43" s="5">
        <f>'a conto bofæller'!E28</f>
        <v>3809</v>
      </c>
      <c r="H43" s="5">
        <f>F43-G43</f>
        <v>-176.0979331788585</v>
      </c>
      <c r="I43" s="5">
        <f t="shared" si="0"/>
        <v>610.347103933772</v>
      </c>
      <c r="J43" s="5">
        <f>C43/B45</f>
        <v>27.240977881257276</v>
      </c>
    </row>
    <row r="44" spans="1:10" ht="12.75">
      <c r="A44" s="15" t="s">
        <v>19</v>
      </c>
      <c r="B44" s="84">
        <v>3</v>
      </c>
      <c r="C44" s="71"/>
      <c r="D44" s="16"/>
      <c r="E44" s="16"/>
      <c r="F44" s="16">
        <f>$E$43/$B$45*B44</f>
        <v>5449.353100231712</v>
      </c>
      <c r="G44" s="16">
        <f>'a conto bofæller'!E29</f>
        <v>4015</v>
      </c>
      <c r="H44" s="16">
        <f>F44-G44</f>
        <v>1434.3531002317122</v>
      </c>
      <c r="I44" s="16">
        <f t="shared" si="0"/>
        <v>915.520655900658</v>
      </c>
      <c r="J44" s="16"/>
    </row>
    <row r="45" spans="1:10" ht="12.75">
      <c r="A45" s="2" t="s">
        <v>33</v>
      </c>
      <c r="B45" s="4">
        <f>SUM(B42:B44)</f>
        <v>8.59</v>
      </c>
      <c r="C45" s="48"/>
      <c r="D45" s="5"/>
      <c r="E45" s="5" t="s">
        <v>3</v>
      </c>
      <c r="F45" s="5"/>
      <c r="G45" s="5"/>
      <c r="H45" s="5"/>
      <c r="I45" s="5"/>
      <c r="J45" s="5"/>
    </row>
    <row r="46" spans="1:11" ht="12.75">
      <c r="A46" s="2" t="s">
        <v>20</v>
      </c>
      <c r="B46" s="83">
        <v>1</v>
      </c>
      <c r="C46" s="35">
        <f>Aflæsninger!E20</f>
        <v>41</v>
      </c>
      <c r="D46" s="5">
        <f>Aflæsninger!E27</f>
        <v>44.10000000000002</v>
      </c>
      <c r="E46" s="5"/>
      <c r="F46" s="5">
        <f>($C46+D$46*B46/B$48)*$D$8</f>
        <v>3807.1347263356733</v>
      </c>
      <c r="G46" s="5">
        <f>'a conto bofæller'!E30</f>
        <v>3517</v>
      </c>
      <c r="H46" s="5">
        <f>F46-G46</f>
        <v>290.13472633567335</v>
      </c>
      <c r="I46" s="5">
        <f t="shared" si="0"/>
        <v>639.6191286647951</v>
      </c>
      <c r="J46" s="5">
        <f>C46/B46</f>
        <v>41</v>
      </c>
      <c r="K46" t="s">
        <v>55</v>
      </c>
    </row>
    <row r="47" spans="1:11" ht="12.75">
      <c r="A47" s="15" t="s">
        <v>21</v>
      </c>
      <c r="B47" s="84">
        <v>1.74</v>
      </c>
      <c r="C47" s="71">
        <f>Aflæsninger!E21</f>
        <v>14</v>
      </c>
      <c r="D47" s="16"/>
      <c r="E47" s="16"/>
      <c r="F47" s="16">
        <f>($C47+D$46*B47/B$48)*$D$8</f>
        <v>2800.9355931531454</v>
      </c>
      <c r="G47" s="16">
        <f>'a conto bofæller'!E31</f>
        <v>2401</v>
      </c>
      <c r="H47" s="16">
        <f>F47-G47</f>
        <v>399.9355931531454</v>
      </c>
      <c r="I47" s="16">
        <f t="shared" si="0"/>
        <v>470.5722576997312</v>
      </c>
      <c r="J47" s="16">
        <f>C47/B47</f>
        <v>8.045977011494253</v>
      </c>
      <c r="K47" t="s">
        <v>55</v>
      </c>
    </row>
    <row r="48" spans="1:10" ht="12.75">
      <c r="A48" s="2" t="s">
        <v>33</v>
      </c>
      <c r="B48" s="48">
        <f>SUM(B46:B47)</f>
        <v>2.74</v>
      </c>
      <c r="C48" s="34"/>
      <c r="D48" s="5"/>
      <c r="E48" s="5"/>
      <c r="F48" s="5"/>
      <c r="G48" s="5"/>
      <c r="H48" s="5"/>
      <c r="I48" s="5"/>
      <c r="J48" s="5"/>
    </row>
    <row r="49" spans="1:11" ht="12.75">
      <c r="A49" s="135" t="s">
        <v>186</v>
      </c>
      <c r="B49" s="83">
        <v>2.31</v>
      </c>
      <c r="C49" s="124">
        <f>Aflæsninger!E26-'Vandtab på Gården'!E13</f>
        <v>219.16360987691826</v>
      </c>
      <c r="D49" s="33">
        <f>-D46</f>
        <v>-44.10000000000002</v>
      </c>
      <c r="E49" s="5">
        <f>(C49+D49)*D8</f>
        <v>11673.386926843923</v>
      </c>
      <c r="F49" s="5">
        <f>$E$49/$B$51*B49</f>
        <v>4273.4586055482505</v>
      </c>
      <c r="G49" s="5">
        <f>'a conto bofæller'!E32</f>
        <v>1677</v>
      </c>
      <c r="H49" s="5">
        <f>F49-G49</f>
        <v>2596.4586055482505</v>
      </c>
      <c r="I49" s="5">
        <f t="shared" si="0"/>
        <v>717.9640506961248</v>
      </c>
      <c r="J49" s="5">
        <f>C49/B51</f>
        <v>34.73274324515344</v>
      </c>
      <c r="K49" s="34" t="s">
        <v>159</v>
      </c>
    </row>
    <row r="50" spans="1:10" ht="12.75">
      <c r="A50" s="135" t="s">
        <v>187</v>
      </c>
      <c r="B50" s="83">
        <v>4</v>
      </c>
      <c r="C50" s="35"/>
      <c r="D50" s="5"/>
      <c r="E50" s="5"/>
      <c r="F50" s="5">
        <f>$E$49/$B$51*B50</f>
        <v>7399.928321295672</v>
      </c>
      <c r="G50" s="5">
        <f>'a conto bofæller'!E33</f>
        <v>7477</v>
      </c>
      <c r="H50" s="16">
        <f>F50-G50</f>
        <v>-77.0716787043284</v>
      </c>
      <c r="I50" s="16">
        <f t="shared" si="0"/>
        <v>1243.227793413203</v>
      </c>
      <c r="J50" s="16"/>
    </row>
    <row r="51" spans="1:10" ht="12.75">
      <c r="A51" s="17" t="s">
        <v>33</v>
      </c>
      <c r="B51" s="24">
        <f>SUM(B49:B50)</f>
        <v>6.3100000000000005</v>
      </c>
      <c r="C51" s="10"/>
      <c r="D51" s="11"/>
      <c r="E51" s="11"/>
      <c r="F51" s="11"/>
      <c r="G51" s="11"/>
      <c r="H51" s="5"/>
      <c r="I51" s="14"/>
      <c r="J51" s="14"/>
    </row>
    <row r="52" spans="1:11" ht="12.75">
      <c r="A52" s="13"/>
      <c r="B52" s="40"/>
      <c r="C52" s="41"/>
      <c r="D52" s="14"/>
      <c r="E52" s="14"/>
      <c r="F52" s="14"/>
      <c r="G52" s="14"/>
      <c r="H52" s="14"/>
      <c r="I52" s="14"/>
      <c r="J52" s="14"/>
      <c r="K52" s="20"/>
    </row>
    <row r="53" spans="1:11" ht="12.75">
      <c r="A53" s="22" t="s">
        <v>36</v>
      </c>
      <c r="B53" s="22"/>
      <c r="C53" s="32">
        <f>SUM(C14:C50)</f>
        <v>2313.163609876918</v>
      </c>
      <c r="D53" s="5" t="s">
        <v>34</v>
      </c>
      <c r="E53" s="5">
        <f>SUM(F14:F50)</f>
        <v>154243.67098435192</v>
      </c>
      <c r="F53" t="s">
        <v>35</v>
      </c>
      <c r="G53" s="5">
        <f>SUM(G14:G50)</f>
        <v>150556</v>
      </c>
      <c r="H53" s="21">
        <f>SUM(H14:H50)</f>
        <v>3687.6709843518943</v>
      </c>
      <c r="I53" s="94"/>
      <c r="K53" s="20"/>
    </row>
    <row r="54" spans="1:10" ht="12.75">
      <c r="A54" s="136" t="s">
        <v>37</v>
      </c>
      <c r="B54" s="136"/>
      <c r="C54" s="69">
        <f>Aflæsninger!E23</f>
        <v>418</v>
      </c>
      <c r="D54" s="5" t="s">
        <v>34</v>
      </c>
      <c r="E54" s="5">
        <f>C54*$D$8</f>
        <v>27872.58722044728</v>
      </c>
      <c r="F54" s="27" t="s">
        <v>35</v>
      </c>
      <c r="G54" s="5"/>
      <c r="H54" s="5"/>
      <c r="I54" s="32"/>
      <c r="J54" s="5"/>
    </row>
    <row r="55" spans="1:11" ht="12.75">
      <c r="A55" s="22" t="s">
        <v>42</v>
      </c>
      <c r="B55" s="22"/>
      <c r="C55" s="32">
        <f>C53+C54</f>
        <v>2731.163609876918</v>
      </c>
      <c r="D55" s="5" t="s">
        <v>34</v>
      </c>
      <c r="E55" s="5">
        <f>E53+E54</f>
        <v>182116.2582047992</v>
      </c>
      <c r="F55" s="27" t="s">
        <v>35</v>
      </c>
      <c r="G55" s="5"/>
      <c r="H55" s="38"/>
      <c r="I55" s="32"/>
      <c r="J55" s="38"/>
      <c r="K55" s="38"/>
    </row>
    <row r="56" spans="1:10" ht="12.75">
      <c r="A56" s="29" t="s">
        <v>52</v>
      </c>
      <c r="B56" s="1"/>
      <c r="C56" s="32">
        <f>D4-C55</f>
        <v>398.83639012308186</v>
      </c>
      <c r="D56" s="5" t="s">
        <v>34</v>
      </c>
      <c r="E56" s="5">
        <f>D6-E55</f>
        <v>26594.741795200796</v>
      </c>
      <c r="F56" s="27" t="s">
        <v>35</v>
      </c>
      <c r="G56" s="5"/>
      <c r="H56" s="5"/>
      <c r="I56" s="32"/>
      <c r="J56" s="5"/>
    </row>
    <row r="57" spans="1:9" s="37" customFormat="1" ht="12.75">
      <c r="A57" s="37" t="s">
        <v>43</v>
      </c>
      <c r="C57" s="38">
        <f>C55+C56</f>
        <v>3130</v>
      </c>
      <c r="D57" s="38" t="s">
        <v>34</v>
      </c>
      <c r="E57" s="38">
        <f>E55+E56</f>
        <v>208711</v>
      </c>
      <c r="F57" s="39" t="s">
        <v>35</v>
      </c>
      <c r="I57" s="32"/>
    </row>
    <row r="58" spans="1:10" ht="12.75">
      <c r="A58" s="2"/>
      <c r="B58" s="1"/>
      <c r="C58" s="1"/>
      <c r="D58" s="5"/>
      <c r="E58" s="5"/>
      <c r="F58" s="5"/>
      <c r="G58" s="5"/>
      <c r="H58" s="5"/>
      <c r="I58" s="5"/>
      <c r="J58" s="5"/>
    </row>
    <row r="59" ht="12.75">
      <c r="A59" t="s">
        <v>81</v>
      </c>
    </row>
    <row r="61" spans="1:11" ht="12.75">
      <c r="A61" s="107" t="s">
        <v>139</v>
      </c>
      <c r="B61" s="92"/>
      <c r="C61" s="127">
        <f>C56+C54-'Vandtab på Gården'!E13</f>
        <v>384.0000000000001</v>
      </c>
      <c r="D61" s="71" t="s">
        <v>34</v>
      </c>
      <c r="E61" s="108">
        <f>C61*$D$8</f>
        <v>25605.43897763579</v>
      </c>
      <c r="F61" s="109" t="s">
        <v>35</v>
      </c>
      <c r="G61" s="5"/>
      <c r="H61" s="5"/>
      <c r="I61" s="91"/>
      <c r="K61" s="34" t="s">
        <v>160</v>
      </c>
    </row>
    <row r="62" spans="1:11" ht="12.75">
      <c r="A62" s="20" t="s">
        <v>85</v>
      </c>
      <c r="B62" s="20"/>
      <c r="C62" s="105">
        <v>167</v>
      </c>
      <c r="D62" s="13" t="s">
        <v>34</v>
      </c>
      <c r="E62" s="113">
        <f>C62*$D$8</f>
        <v>11135.698722044728</v>
      </c>
      <c r="F62" s="20" t="s">
        <v>35</v>
      </c>
      <c r="G62" s="106">
        <v>11249</v>
      </c>
      <c r="H62" s="14">
        <f>E62-G62</f>
        <v>-113.30127795527187</v>
      </c>
      <c r="K62" t="s">
        <v>134</v>
      </c>
    </row>
    <row r="63" spans="1:9" ht="13.5" thickBot="1">
      <c r="A63" s="107" t="s">
        <v>86</v>
      </c>
      <c r="B63" s="92"/>
      <c r="C63" s="108">
        <f>C61-C62</f>
        <v>217.0000000000001</v>
      </c>
      <c r="D63" s="71" t="s">
        <v>34</v>
      </c>
      <c r="E63" s="108">
        <f>C63*$D$8</f>
        <v>14469.740255591061</v>
      </c>
      <c r="F63" s="109" t="s">
        <v>35</v>
      </c>
      <c r="G63" s="16">
        <f>'a conto fælleshuset'!J14</f>
        <v>21088</v>
      </c>
      <c r="H63" s="90">
        <f>E63-G63</f>
        <v>-6618.259744408939</v>
      </c>
      <c r="I63" s="89">
        <f>(E63)/6*(1+K$8)</f>
        <v>2430.9942567215166</v>
      </c>
    </row>
    <row r="64" spans="1:9" ht="13.5" thickTop="1">
      <c r="A64" s="112"/>
      <c r="B64" s="20"/>
      <c r="C64" s="113"/>
      <c r="D64" s="68"/>
      <c r="E64" s="113"/>
      <c r="F64" s="114"/>
      <c r="G64" s="14"/>
      <c r="H64" s="14"/>
      <c r="I64" s="91"/>
    </row>
    <row r="65" spans="1:9" s="126" customFormat="1" ht="12.75">
      <c r="A65" s="128" t="s">
        <v>178</v>
      </c>
      <c r="B65" s="129"/>
      <c r="C65" s="130">
        <f>'Vandtab på Gården'!E13</f>
        <v>432.83639012308174</v>
      </c>
      <c r="D65" s="131" t="s">
        <v>34</v>
      </c>
      <c r="E65" s="130">
        <f>'Vandtab på Gården'!E15</f>
        <v>28861.8900380123</v>
      </c>
      <c r="F65" s="132" t="s">
        <v>35</v>
      </c>
      <c r="G65" s="130"/>
      <c r="H65" s="130"/>
      <c r="I65" s="133"/>
    </row>
    <row r="66" ht="12.75">
      <c r="A66" s="28"/>
    </row>
    <row r="67" spans="1:10" s="103" customFormat="1" ht="12.75">
      <c r="A67" s="103" t="s">
        <v>43</v>
      </c>
      <c r="E67" s="104"/>
      <c r="G67" s="104">
        <f>G53+G63+G62</f>
        <v>182893</v>
      </c>
      <c r="H67" s="104">
        <f>H53+H63+H62</f>
        <v>-3043.8900380123164</v>
      </c>
      <c r="J67" s="104">
        <f>G67+H67</f>
        <v>179849.10996198768</v>
      </c>
    </row>
    <row r="71" ht="12.75">
      <c r="A71" t="s">
        <v>80</v>
      </c>
    </row>
  </sheetData>
  <sheetProtection/>
  <protectedRanges>
    <protectedRange sqref="B46:C50" name="Omr?de11_1_1_1"/>
    <protectedRange sqref="B42:C44" name="Omr?de10_1_1_1"/>
    <protectedRange sqref="B38:C40" name="Omr?de9_1_1_1"/>
    <protectedRange sqref="B34:C36" name="Omr?de8_1_1_1"/>
    <protectedRange sqref="B30:C32" name="Omr?de7_1_1_1"/>
    <protectedRange sqref="B26:C28" name="Omr?de6_1_1_1"/>
    <protectedRange sqref="B15:C17" name="Omr?de3_1_1_1"/>
    <protectedRange sqref="B19:C21" name="Omr?de4_1_1_1"/>
    <protectedRange sqref="B23:C24" name="Omr?de5_1_1_1"/>
    <protectedRange sqref="A1" name="Omr?de12"/>
    <protectedRange sqref="J4:J6" name="Omr?de13_1"/>
  </protectedRanges>
  <mergeCells count="2">
    <mergeCell ref="A54:B54"/>
    <mergeCell ref="A7:B7"/>
  </mergeCells>
  <printOptions/>
  <pageMargins left="0.75" right="0.75" top="1" bottom="1" header="0.5" footer="0.5"/>
  <pageSetup fitToHeight="1" fitToWidth="1" horizontalDpi="600" verticalDpi="600" orientation="portrait" paperSize="9" scale="56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52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2" width="10.28125" style="0" bestFit="1" customWidth="1"/>
    <col min="4" max="4" width="8.8515625" style="0" bestFit="1" customWidth="1"/>
  </cols>
  <sheetData>
    <row r="3" spans="1:4" ht="12.75">
      <c r="A3" s="43" t="s">
        <v>179</v>
      </c>
      <c r="D3" s="102">
        <f>SUM(D5:D6)</f>
        <v>2.4</v>
      </c>
    </row>
    <row r="4" spans="1:4" ht="12.75">
      <c r="A4" t="s">
        <v>135</v>
      </c>
      <c r="B4" t="s">
        <v>136</v>
      </c>
      <c r="C4" s="4" t="s">
        <v>24</v>
      </c>
      <c r="D4" s="48" t="s">
        <v>137</v>
      </c>
    </row>
    <row r="5" spans="1:4" ht="12.75">
      <c r="A5" s="62">
        <v>41640</v>
      </c>
      <c r="B5" s="62">
        <v>41850</v>
      </c>
      <c r="C5">
        <v>2</v>
      </c>
      <c r="D5" s="60">
        <f>C5*(B5-A5)/365</f>
        <v>1.1506849315068493</v>
      </c>
    </row>
    <row r="6" spans="1:4" ht="12.75">
      <c r="A6" s="62">
        <v>41852</v>
      </c>
      <c r="B6" s="62">
        <v>42004</v>
      </c>
      <c r="C6">
        <v>3</v>
      </c>
      <c r="D6" s="60">
        <f>C6*(B6-A6)/365</f>
        <v>1.2493150684931507</v>
      </c>
    </row>
    <row r="9" spans="1:4" ht="12.75">
      <c r="A9" s="43" t="s">
        <v>180</v>
      </c>
      <c r="D9" s="102">
        <f>SUM(D11:D12)</f>
        <v>2.652054794520548</v>
      </c>
    </row>
    <row r="10" spans="1:4" ht="12.75">
      <c r="A10" t="s">
        <v>135</v>
      </c>
      <c r="B10" t="s">
        <v>136</v>
      </c>
      <c r="C10" s="4" t="s">
        <v>24</v>
      </c>
      <c r="D10" s="48" t="s">
        <v>137</v>
      </c>
    </row>
    <row r="11" spans="1:4" ht="12.75">
      <c r="A11" s="62">
        <v>41640</v>
      </c>
      <c r="B11" s="62">
        <v>41882</v>
      </c>
      <c r="C11">
        <v>3</v>
      </c>
      <c r="D11" s="60">
        <f>C11*(B11-A11)/365</f>
        <v>1.989041095890411</v>
      </c>
    </row>
    <row r="12" spans="1:4" ht="12.75">
      <c r="A12" s="62">
        <v>41883</v>
      </c>
      <c r="B12" s="62">
        <v>42004</v>
      </c>
      <c r="C12">
        <v>2</v>
      </c>
      <c r="D12" s="60">
        <f>C12*(B12-A12)/365</f>
        <v>0.663013698630137</v>
      </c>
    </row>
    <row r="15" spans="1:4" ht="12.75">
      <c r="A15" s="43" t="s">
        <v>181</v>
      </c>
      <c r="D15" s="102">
        <f>SUM(D17:D18)</f>
        <v>2.5205479452054793</v>
      </c>
    </row>
    <row r="16" spans="1:4" ht="12.75">
      <c r="A16" t="s">
        <v>135</v>
      </c>
      <c r="B16" t="s">
        <v>136</v>
      </c>
      <c r="C16" s="4" t="s">
        <v>24</v>
      </c>
      <c r="D16" s="48" t="s">
        <v>137</v>
      </c>
    </row>
    <row r="17" spans="1:4" ht="12.75">
      <c r="A17" s="62">
        <v>41640</v>
      </c>
      <c r="B17" s="62">
        <v>41834</v>
      </c>
      <c r="C17">
        <v>3</v>
      </c>
      <c r="D17" s="60">
        <f>C17*(B17-A17)/365</f>
        <v>1.5945205479452054</v>
      </c>
    </row>
    <row r="18" spans="1:4" ht="12.75">
      <c r="A18" s="62">
        <v>41835</v>
      </c>
      <c r="B18" s="62">
        <v>42004</v>
      </c>
      <c r="C18">
        <v>2</v>
      </c>
      <c r="D18" s="60">
        <f>C18*(B18-A18)/365</f>
        <v>0.9260273972602739</v>
      </c>
    </row>
    <row r="21" spans="1:4" ht="12.75">
      <c r="A21" s="43" t="s">
        <v>182</v>
      </c>
      <c r="D21" s="102">
        <f>SUM(D23:D24)</f>
        <v>2.4</v>
      </c>
    </row>
    <row r="22" spans="1:4" ht="12.75">
      <c r="A22" t="s">
        <v>135</v>
      </c>
      <c r="B22" t="s">
        <v>136</v>
      </c>
      <c r="C22" s="4" t="s">
        <v>24</v>
      </c>
      <c r="D22" s="48" t="s">
        <v>137</v>
      </c>
    </row>
    <row r="23" spans="1:4" ht="12.75">
      <c r="A23" s="62">
        <v>41640</v>
      </c>
      <c r="B23" s="62">
        <v>41850</v>
      </c>
      <c r="C23">
        <v>2</v>
      </c>
      <c r="D23" s="60">
        <f>C23*(B23-A23)/365</f>
        <v>1.1506849315068493</v>
      </c>
    </row>
    <row r="24" spans="1:6" ht="12.75">
      <c r="A24" s="62">
        <v>41852</v>
      </c>
      <c r="B24" s="62">
        <v>42004</v>
      </c>
      <c r="C24">
        <v>3</v>
      </c>
      <c r="D24" s="60">
        <f>C24*(B24-A24)/365</f>
        <v>1.2493150684931507</v>
      </c>
      <c r="F24" t="s">
        <v>188</v>
      </c>
    </row>
    <row r="25" ht="12.75">
      <c r="A25" s="134"/>
    </row>
    <row r="26" spans="1:4" ht="12.75">
      <c r="A26" s="43" t="s">
        <v>148</v>
      </c>
      <c r="D26" s="102">
        <f>SUM(D28:D29)</f>
        <v>3.3945205479452056</v>
      </c>
    </row>
    <row r="27" spans="1:4" ht="12.75">
      <c r="A27" t="s">
        <v>135</v>
      </c>
      <c r="B27" t="s">
        <v>136</v>
      </c>
      <c r="C27" s="4" t="s">
        <v>24</v>
      </c>
      <c r="D27" s="48" t="s">
        <v>137</v>
      </c>
    </row>
    <row r="28" spans="1:4" ht="12.75">
      <c r="A28" s="62">
        <v>41640</v>
      </c>
      <c r="B28" s="62">
        <v>41790</v>
      </c>
      <c r="C28">
        <v>4</v>
      </c>
      <c r="D28" s="60">
        <f>C28*(B28-A28)/365</f>
        <v>1.643835616438356</v>
      </c>
    </row>
    <row r="29" spans="1:4" ht="12.75">
      <c r="A29" s="62">
        <v>41791</v>
      </c>
      <c r="B29" s="62">
        <v>42004</v>
      </c>
      <c r="C29">
        <v>3</v>
      </c>
      <c r="D29" s="60">
        <f>C29*(B29-A29)/365</f>
        <v>1.7506849315068493</v>
      </c>
    </row>
    <row r="30" spans="1:4" ht="12.75">
      <c r="A30" s="62"/>
      <c r="B30" s="62"/>
      <c r="D30" s="60"/>
    </row>
    <row r="32" spans="1:4" ht="12.75">
      <c r="A32" s="43" t="s">
        <v>183</v>
      </c>
      <c r="D32" s="102">
        <f>SUM(D34:D35)</f>
        <v>3.5863013698630137</v>
      </c>
    </row>
    <row r="33" spans="1:4" ht="12.75">
      <c r="A33" t="s">
        <v>135</v>
      </c>
      <c r="B33" t="s">
        <v>136</v>
      </c>
      <c r="C33" s="4" t="s">
        <v>24</v>
      </c>
      <c r="D33" s="48" t="s">
        <v>137</v>
      </c>
    </row>
    <row r="34" spans="1:4" ht="12.75">
      <c r="A34" s="62">
        <v>41640</v>
      </c>
      <c r="B34" s="62">
        <v>41860</v>
      </c>
      <c r="C34">
        <v>4</v>
      </c>
      <c r="D34" s="60">
        <f>C34*(B34-A34)/365</f>
        <v>2.410958904109589</v>
      </c>
    </row>
    <row r="35" spans="1:4" ht="12.75">
      <c r="A35" s="62">
        <v>41861</v>
      </c>
      <c r="B35" s="62">
        <v>42004</v>
      </c>
      <c r="C35">
        <v>3</v>
      </c>
      <c r="D35" s="60">
        <f>C35*(B35-A35)/365</f>
        <v>1.1753424657534246</v>
      </c>
    </row>
    <row r="38" spans="1:4" ht="12.75">
      <c r="A38" s="43" t="s">
        <v>147</v>
      </c>
      <c r="D38" s="102">
        <f>SUM(D40:D40)</f>
        <v>2.9917808219178084</v>
      </c>
    </row>
    <row r="39" spans="1:4" ht="12.75">
      <c r="A39" t="s">
        <v>135</v>
      </c>
      <c r="B39" t="s">
        <v>136</v>
      </c>
      <c r="C39" s="4" t="s">
        <v>24</v>
      </c>
      <c r="D39" s="48" t="s">
        <v>137</v>
      </c>
    </row>
    <row r="40" spans="1:6" ht="12.75">
      <c r="A40" s="62">
        <v>41640</v>
      </c>
      <c r="B40" s="62">
        <v>42004</v>
      </c>
      <c r="C40">
        <v>3</v>
      </c>
      <c r="D40" s="60">
        <f>C40*(B40-A40)/365</f>
        <v>2.9917808219178084</v>
      </c>
      <c r="F40" t="s">
        <v>189</v>
      </c>
    </row>
    <row r="43" spans="1:4" ht="12.75">
      <c r="A43" s="43" t="s">
        <v>184</v>
      </c>
      <c r="D43" s="102">
        <f>SUM(D45:D46)</f>
        <v>1.7424657534246575</v>
      </c>
    </row>
    <row r="44" spans="1:4" ht="12.75">
      <c r="A44" t="s">
        <v>135</v>
      </c>
      <c r="B44" t="s">
        <v>136</v>
      </c>
      <c r="C44" s="4" t="s">
        <v>24</v>
      </c>
      <c r="D44" s="48" t="s">
        <v>137</v>
      </c>
    </row>
    <row r="45" spans="1:4" ht="12.75">
      <c r="A45" s="62">
        <v>41640</v>
      </c>
      <c r="B45" s="62">
        <v>41912</v>
      </c>
      <c r="C45">
        <v>1</v>
      </c>
      <c r="D45" s="60">
        <f>C45*(B45-A45)/365</f>
        <v>0.7452054794520548</v>
      </c>
    </row>
    <row r="46" spans="1:6" ht="12.75">
      <c r="A46" s="62">
        <v>41913</v>
      </c>
      <c r="B46" s="62">
        <v>42004</v>
      </c>
      <c r="C46">
        <v>4</v>
      </c>
      <c r="D46" s="60">
        <f>C46*(B46-A46)/365</f>
        <v>0.9972602739726028</v>
      </c>
      <c r="F46" t="s">
        <v>190</v>
      </c>
    </row>
    <row r="49" spans="1:4" ht="12.75">
      <c r="A49" s="43" t="s">
        <v>185</v>
      </c>
      <c r="D49" s="102">
        <f>SUM(D51:D52)</f>
        <v>2.3123287671232875</v>
      </c>
    </row>
    <row r="50" spans="1:4" ht="12.75">
      <c r="A50" t="s">
        <v>135</v>
      </c>
      <c r="B50" t="s">
        <v>136</v>
      </c>
      <c r="C50" s="4" t="s">
        <v>24</v>
      </c>
      <c r="D50" s="48" t="s">
        <v>137</v>
      </c>
    </row>
    <row r="51" spans="1:4" ht="12.75">
      <c r="A51" s="62">
        <v>41640</v>
      </c>
      <c r="B51" s="62">
        <v>41851</v>
      </c>
      <c r="C51">
        <v>4</v>
      </c>
      <c r="D51" s="60">
        <f>C51*(B51-A51)/365</f>
        <v>2.3123287671232875</v>
      </c>
    </row>
    <row r="52" spans="1:6" ht="12.75">
      <c r="A52" s="62">
        <v>41852</v>
      </c>
      <c r="B52" s="62">
        <v>42004</v>
      </c>
      <c r="C52">
        <v>0</v>
      </c>
      <c r="D52" s="60">
        <f>C52*(B52-A52)/365</f>
        <v>0</v>
      </c>
      <c r="F52" t="s">
        <v>191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9.8515625" style="0" customWidth="1"/>
    <col min="2" max="2" width="2.7109375" style="0" customWidth="1"/>
    <col min="3" max="4" width="12.7109375" style="0" customWidth="1"/>
    <col min="5" max="5" width="13.7109375" style="0" customWidth="1"/>
    <col min="6" max="6" width="15.8515625" style="0" customWidth="1"/>
    <col min="9" max="9" width="8.57421875" style="0" customWidth="1"/>
    <col min="10" max="10" width="8.421875" style="0" customWidth="1"/>
  </cols>
  <sheetData>
    <row r="1" ht="17.25">
      <c r="A1" s="95" t="s">
        <v>140</v>
      </c>
    </row>
    <row r="2" ht="13.5" thickBot="1"/>
    <row r="3" spans="1:10" ht="12.75">
      <c r="A3" s="49"/>
      <c r="B3" s="50"/>
      <c r="C3" s="77" t="s">
        <v>57</v>
      </c>
      <c r="D3" s="77" t="s">
        <v>57</v>
      </c>
      <c r="E3" s="77" t="s">
        <v>143</v>
      </c>
      <c r="F3" s="77" t="s">
        <v>58</v>
      </c>
      <c r="G3" s="51"/>
      <c r="H3" s="51"/>
      <c r="J3" s="52"/>
    </row>
    <row r="4" spans="1:6" ht="12.75">
      <c r="A4" s="53"/>
      <c r="B4" s="54"/>
      <c r="C4" s="85">
        <v>41640</v>
      </c>
      <c r="D4" s="85">
        <v>42005</v>
      </c>
      <c r="E4" s="78"/>
      <c r="F4" s="78" t="s">
        <v>43</v>
      </c>
    </row>
    <row r="5" spans="1:6" ht="12.75">
      <c r="A5" s="55"/>
      <c r="B5" s="56"/>
      <c r="C5" s="79"/>
      <c r="D5" s="79"/>
      <c r="E5" s="56"/>
      <c r="F5" s="57"/>
    </row>
    <row r="6" spans="1:8" ht="12.75">
      <c r="A6" s="58" t="s">
        <v>59</v>
      </c>
      <c r="B6" s="56"/>
      <c r="C6" s="86">
        <v>14301</v>
      </c>
      <c r="D6" s="86">
        <v>17519</v>
      </c>
      <c r="E6" s="59">
        <f>D6-C6+G6</f>
        <v>3218</v>
      </c>
      <c r="F6" s="57">
        <f>(D6-C6+G6)/(D$4-C$4)</f>
        <v>8.816438356164383</v>
      </c>
      <c r="G6" s="59"/>
      <c r="H6" s="60"/>
    </row>
    <row r="7" spans="1:9" ht="12.75">
      <c r="A7" s="73" t="s">
        <v>60</v>
      </c>
      <c r="B7" s="56"/>
      <c r="C7" s="86">
        <v>2469</v>
      </c>
      <c r="D7" s="86">
        <v>2557</v>
      </c>
      <c r="E7" s="110">
        <f>D7-C7</f>
        <v>88</v>
      </c>
      <c r="F7" s="61">
        <f>(D7-C7)/(D$4-C$4)</f>
        <v>0.2410958904109589</v>
      </c>
      <c r="H7" s="60"/>
      <c r="I7" s="62"/>
    </row>
    <row r="8" spans="1:8" ht="12.75">
      <c r="A8" s="74" t="s">
        <v>61</v>
      </c>
      <c r="B8" s="53"/>
      <c r="C8" s="81"/>
      <c r="D8" s="81"/>
      <c r="E8" s="111">
        <f>E6-E7</f>
        <v>3130</v>
      </c>
      <c r="F8" s="61">
        <f>F6-F7</f>
        <v>8.575342465753424</v>
      </c>
      <c r="H8" s="60" t="s">
        <v>62</v>
      </c>
    </row>
    <row r="9" spans="1:8" ht="12.75">
      <c r="A9" s="73"/>
      <c r="B9" s="56"/>
      <c r="C9" s="80"/>
      <c r="D9" s="80"/>
      <c r="E9" s="56"/>
      <c r="F9" s="57"/>
      <c r="H9" s="60"/>
    </row>
    <row r="10" spans="1:8" ht="12.75">
      <c r="A10" s="73" t="s">
        <v>63</v>
      </c>
      <c r="B10" s="56"/>
      <c r="C10" s="80"/>
      <c r="D10" s="80"/>
      <c r="E10" s="56"/>
      <c r="F10" s="57"/>
      <c r="H10" s="60"/>
    </row>
    <row r="11" spans="1:8" ht="12.75">
      <c r="A11" s="73"/>
      <c r="B11" s="56"/>
      <c r="C11" s="80"/>
      <c r="D11" s="80"/>
      <c r="E11" s="56"/>
      <c r="F11" s="61"/>
      <c r="H11" s="60"/>
    </row>
    <row r="12" spans="1:8" ht="12.75">
      <c r="A12" s="75" t="s">
        <v>64</v>
      </c>
      <c r="B12" s="53"/>
      <c r="C12" s="87">
        <v>4778</v>
      </c>
      <c r="D12" s="87">
        <v>5085</v>
      </c>
      <c r="E12" s="53">
        <f aca="true" t="shared" si="0" ref="E12:E23">D12-C12</f>
        <v>307</v>
      </c>
      <c r="F12" s="61">
        <f>(E12)/(D$4-C$4)</f>
        <v>0.8410958904109589</v>
      </c>
      <c r="H12" s="60"/>
    </row>
    <row r="13" spans="1:8" ht="12.75">
      <c r="A13" s="75" t="s">
        <v>65</v>
      </c>
      <c r="B13" s="53"/>
      <c r="C13" s="87">
        <v>4085</v>
      </c>
      <c r="D13" s="87">
        <v>4302</v>
      </c>
      <c r="E13" s="53">
        <f t="shared" si="0"/>
        <v>217</v>
      </c>
      <c r="F13" s="61">
        <f aca="true" t="shared" si="1" ref="F13:F24">(E13)/(D$4-C$4)</f>
        <v>0.5945205479452055</v>
      </c>
      <c r="G13" s="3"/>
      <c r="H13" s="60"/>
    </row>
    <row r="14" spans="1:8" ht="12.75">
      <c r="A14" s="75" t="s">
        <v>66</v>
      </c>
      <c r="B14" s="53"/>
      <c r="C14" s="87">
        <v>2862</v>
      </c>
      <c r="D14" s="87">
        <v>3019</v>
      </c>
      <c r="E14" s="53">
        <f t="shared" si="0"/>
        <v>157</v>
      </c>
      <c r="F14" s="61">
        <f t="shared" si="1"/>
        <v>0.4301369863013699</v>
      </c>
      <c r="H14" s="60"/>
    </row>
    <row r="15" spans="1:8" ht="12.75">
      <c r="A15" s="75" t="s">
        <v>67</v>
      </c>
      <c r="B15" s="53"/>
      <c r="C15" s="87">
        <v>4620</v>
      </c>
      <c r="D15" s="87">
        <v>4866</v>
      </c>
      <c r="E15" s="53">
        <f t="shared" si="0"/>
        <v>246</v>
      </c>
      <c r="F15" s="61">
        <f t="shared" si="1"/>
        <v>0.673972602739726</v>
      </c>
      <c r="H15" s="60"/>
    </row>
    <row r="16" spans="1:8" ht="12.75">
      <c r="A16" s="75" t="s">
        <v>68</v>
      </c>
      <c r="B16" s="53"/>
      <c r="C16" s="87">
        <v>4414</v>
      </c>
      <c r="D16" s="87">
        <v>4800</v>
      </c>
      <c r="E16" s="53">
        <f t="shared" si="0"/>
        <v>386</v>
      </c>
      <c r="F16" s="61">
        <f t="shared" si="1"/>
        <v>1.0575342465753426</v>
      </c>
      <c r="H16" s="60"/>
    </row>
    <row r="17" spans="1:8" ht="12.75">
      <c r="A17" s="74" t="s">
        <v>69</v>
      </c>
      <c r="B17" s="53"/>
      <c r="C17" s="87">
        <v>3958</v>
      </c>
      <c r="D17" s="87">
        <v>4159</v>
      </c>
      <c r="E17" s="53">
        <f t="shared" si="0"/>
        <v>201</v>
      </c>
      <c r="F17" s="61">
        <f t="shared" si="1"/>
        <v>0.5506849315068493</v>
      </c>
      <c r="H17" s="60"/>
    </row>
    <row r="18" spans="1:8" ht="12.75">
      <c r="A18" s="74" t="s">
        <v>70</v>
      </c>
      <c r="B18" s="53"/>
      <c r="C18" s="87">
        <v>4115</v>
      </c>
      <c r="D18" s="87">
        <v>4406</v>
      </c>
      <c r="E18" s="53">
        <f t="shared" si="0"/>
        <v>291</v>
      </c>
      <c r="F18" s="61">
        <f t="shared" si="1"/>
        <v>0.7972602739726027</v>
      </c>
      <c r="H18" s="60"/>
    </row>
    <row r="19" spans="1:8" ht="12.75">
      <c r="A19" s="74" t="s">
        <v>71</v>
      </c>
      <c r="B19" s="53"/>
      <c r="C19" s="87">
        <v>3821</v>
      </c>
      <c r="D19" s="87">
        <v>4055</v>
      </c>
      <c r="E19" s="53">
        <f t="shared" si="0"/>
        <v>234</v>
      </c>
      <c r="F19" s="61">
        <f t="shared" si="1"/>
        <v>0.6410958904109589</v>
      </c>
      <c r="H19" s="60"/>
    </row>
    <row r="20" spans="1:8" ht="12.75">
      <c r="A20" s="74">
        <v>24</v>
      </c>
      <c r="B20" s="53"/>
      <c r="C20" s="87">
        <v>147</v>
      </c>
      <c r="D20" s="87">
        <v>188</v>
      </c>
      <c r="E20" s="53">
        <f t="shared" si="0"/>
        <v>41</v>
      </c>
      <c r="F20" s="61">
        <f t="shared" si="1"/>
        <v>0.11232876712328767</v>
      </c>
      <c r="H20" s="60"/>
    </row>
    <row r="21" spans="1:8" ht="12.75">
      <c r="A21" s="74">
        <v>25</v>
      </c>
      <c r="B21" s="53"/>
      <c r="C21" s="87">
        <v>96</v>
      </c>
      <c r="D21" s="87">
        <v>110</v>
      </c>
      <c r="E21" s="53">
        <f t="shared" si="0"/>
        <v>14</v>
      </c>
      <c r="F21" s="61">
        <f t="shared" si="1"/>
        <v>0.038356164383561646</v>
      </c>
      <c r="H21" s="60"/>
    </row>
    <row r="22" spans="1:8" ht="12.75">
      <c r="A22" s="74" t="s">
        <v>72</v>
      </c>
      <c r="B22" s="53"/>
      <c r="C22" s="87">
        <v>6667</v>
      </c>
      <c r="D22" s="87">
        <v>7407</v>
      </c>
      <c r="E22" s="53">
        <f t="shared" si="0"/>
        <v>740</v>
      </c>
      <c r="F22" s="61">
        <f t="shared" si="1"/>
        <v>2.0273972602739727</v>
      </c>
      <c r="H22" s="60"/>
    </row>
    <row r="23" spans="1:8" ht="12.75">
      <c r="A23" s="73">
        <v>27</v>
      </c>
      <c r="B23" s="56"/>
      <c r="C23" s="86">
        <v>12496</v>
      </c>
      <c r="D23" s="86">
        <v>12914</v>
      </c>
      <c r="E23" s="56">
        <f t="shared" si="0"/>
        <v>418</v>
      </c>
      <c r="F23" s="61">
        <f t="shared" si="1"/>
        <v>1.1452054794520548</v>
      </c>
      <c r="H23" s="60"/>
    </row>
    <row r="24" spans="1:9" ht="13.5" thickBot="1">
      <c r="A24" s="76" t="s">
        <v>73</v>
      </c>
      <c r="B24" s="63"/>
      <c r="C24" s="82"/>
      <c r="D24" s="82"/>
      <c r="E24" s="64">
        <f>SUM(E12:E23)</f>
        <v>3252</v>
      </c>
      <c r="F24" s="65">
        <f t="shared" si="1"/>
        <v>8.90958904109589</v>
      </c>
      <c r="H24" s="1"/>
      <c r="I24" s="20"/>
    </row>
    <row r="25" spans="1:4" ht="12.75">
      <c r="A25" s="73"/>
      <c r="C25" s="43"/>
      <c r="D25" s="43"/>
    </row>
    <row r="26" spans="1:9" ht="12.75">
      <c r="A26" s="34" t="s">
        <v>74</v>
      </c>
      <c r="C26" s="43"/>
      <c r="D26" s="43"/>
      <c r="E26">
        <f>E22-E7</f>
        <v>652</v>
      </c>
      <c r="F26" s="66">
        <f>E26/(D$4-C$4)</f>
        <v>1.7863013698630137</v>
      </c>
      <c r="H26" s="60" t="s">
        <v>75</v>
      </c>
      <c r="I26" s="20"/>
    </row>
    <row r="27" spans="1:8" ht="12.75">
      <c r="A27" s="73" t="s">
        <v>76</v>
      </c>
      <c r="C27" s="88">
        <v>315.7</v>
      </c>
      <c r="D27" s="88">
        <v>359.8</v>
      </c>
      <c r="E27" s="56">
        <f>D27-C27</f>
        <v>44.10000000000002</v>
      </c>
      <c r="F27" s="57">
        <f>(D27-C27)/(D$4-C$4)</f>
        <v>0.12082191780821924</v>
      </c>
      <c r="H27" t="s">
        <v>77</v>
      </c>
    </row>
    <row r="28" ht="13.5" customHeight="1">
      <c r="A28" s="73"/>
    </row>
    <row r="29" spans="1:6" ht="13.5" customHeight="1">
      <c r="A29" s="73" t="s">
        <v>78</v>
      </c>
      <c r="E29" s="21">
        <f>E24-E7</f>
        <v>3164</v>
      </c>
      <c r="F29" s="57">
        <f>F24-F7</f>
        <v>8.668493150684931</v>
      </c>
    </row>
    <row r="30" spans="1:8" ht="12.75">
      <c r="A30" s="73" t="s">
        <v>141</v>
      </c>
      <c r="E30" s="21">
        <f>E6-E24</f>
        <v>-34</v>
      </c>
      <c r="F30" s="66">
        <f>F6-F24</f>
        <v>-0.09315068493150669</v>
      </c>
      <c r="H30" s="60"/>
    </row>
    <row r="31" spans="1:6" ht="12.75">
      <c r="A31" s="73" t="s">
        <v>79</v>
      </c>
      <c r="E31" s="67">
        <f>(E24-E23-E14-E7)/8</f>
        <v>323.625</v>
      </c>
      <c r="F31" s="66">
        <f>(F24-F23-F14)-F7/8</f>
        <v>7.304109589041095</v>
      </c>
    </row>
    <row r="32" ht="12.75">
      <c r="A32" s="34"/>
    </row>
    <row r="35" ht="12.75">
      <c r="A35" t="s">
        <v>80</v>
      </c>
    </row>
    <row r="38" spans="1:3" ht="12.75">
      <c r="A38" t="s">
        <v>145</v>
      </c>
      <c r="C38">
        <v>45837</v>
      </c>
    </row>
    <row r="39" spans="1:3" ht="12.75">
      <c r="A39" t="s">
        <v>146</v>
      </c>
      <c r="C39">
        <v>9952</v>
      </c>
    </row>
  </sheetData>
  <sheetProtection password="F3CB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3.421875" style="0" bestFit="1" customWidth="1"/>
    <col min="3" max="3" width="19.421875" style="0" bestFit="1" customWidth="1"/>
    <col min="4" max="4" width="6.421875" style="0" bestFit="1" customWidth="1"/>
    <col min="5" max="5" width="10.00390625" style="0" bestFit="1" customWidth="1"/>
    <col min="6" max="6" width="12.140625" style="0" bestFit="1" customWidth="1"/>
    <col min="7" max="7" width="10.00390625" style="0" bestFit="1" customWidth="1"/>
    <col min="8" max="8" width="12.57421875" style="0" bestFit="1" customWidth="1"/>
  </cols>
  <sheetData>
    <row r="1" spans="1:8" ht="13.5">
      <c r="A1" s="138" t="s">
        <v>87</v>
      </c>
      <c r="B1" s="138"/>
      <c r="C1" s="138"/>
      <c r="D1" s="138"/>
      <c r="E1" s="138"/>
      <c r="F1" s="138"/>
      <c r="G1" s="138"/>
      <c r="H1" s="138"/>
    </row>
    <row r="2" spans="1:8" ht="13.5">
      <c r="A2" s="138" t="s">
        <v>164</v>
      </c>
      <c r="B2" s="138"/>
      <c r="C2" s="138"/>
      <c r="D2" s="138"/>
      <c r="E2" s="138"/>
      <c r="F2" s="138"/>
      <c r="G2" s="138"/>
      <c r="H2" s="138"/>
    </row>
    <row r="3" spans="1:8" ht="13.5">
      <c r="A3" s="138" t="s">
        <v>165</v>
      </c>
      <c r="B3" s="138"/>
      <c r="C3" s="138"/>
      <c r="D3" s="138"/>
      <c r="E3" s="138"/>
      <c r="F3" s="138"/>
      <c r="G3" s="138"/>
      <c r="H3" s="138"/>
    </row>
    <row r="4" spans="1:8" ht="13.5">
      <c r="A4" s="139"/>
      <c r="B4" s="139"/>
      <c r="C4" s="139"/>
      <c r="D4" s="139"/>
      <c r="E4" s="139"/>
      <c r="F4" s="139"/>
      <c r="G4" s="139"/>
      <c r="H4" s="139"/>
    </row>
    <row r="5" spans="1:8" ht="27">
      <c r="A5" s="121" t="s">
        <v>96</v>
      </c>
      <c r="B5" s="121" t="s">
        <v>97</v>
      </c>
      <c r="C5" s="121" t="s">
        <v>98</v>
      </c>
      <c r="D5" s="96" t="s">
        <v>24</v>
      </c>
      <c r="E5" s="96" t="s">
        <v>99</v>
      </c>
      <c r="F5" s="96" t="s">
        <v>100</v>
      </c>
      <c r="G5" s="96" t="s">
        <v>101</v>
      </c>
      <c r="H5" s="96" t="s">
        <v>102</v>
      </c>
    </row>
    <row r="6" spans="1:8" ht="13.5">
      <c r="A6" s="122" t="s">
        <v>103</v>
      </c>
      <c r="B6" s="98">
        <v>2</v>
      </c>
      <c r="C6" s="122" t="s">
        <v>166</v>
      </c>
      <c r="D6" s="99">
        <v>26</v>
      </c>
      <c r="E6" s="99">
        <v>2977</v>
      </c>
      <c r="F6" s="99">
        <v>0</v>
      </c>
      <c r="G6" s="99">
        <v>2977</v>
      </c>
      <c r="H6" s="100" t="s">
        <v>105</v>
      </c>
    </row>
    <row r="7" spans="1:8" ht="13.5">
      <c r="A7" s="122" t="s">
        <v>103</v>
      </c>
      <c r="B7" s="98">
        <v>3</v>
      </c>
      <c r="C7" s="122" t="s">
        <v>104</v>
      </c>
      <c r="D7" s="99">
        <v>6</v>
      </c>
      <c r="E7" s="99">
        <v>8618</v>
      </c>
      <c r="F7" s="99">
        <v>0</v>
      </c>
      <c r="G7" s="99">
        <v>8618</v>
      </c>
      <c r="H7" s="100" t="s">
        <v>105</v>
      </c>
    </row>
    <row r="8" spans="1:8" ht="13.5">
      <c r="A8" s="122" t="s">
        <v>103</v>
      </c>
      <c r="B8" s="98">
        <v>4</v>
      </c>
      <c r="C8" s="122" t="s">
        <v>106</v>
      </c>
      <c r="D8" s="99">
        <v>6</v>
      </c>
      <c r="E8" s="99">
        <v>2263</v>
      </c>
      <c r="F8" s="99">
        <v>0</v>
      </c>
      <c r="G8" s="99">
        <v>2263</v>
      </c>
      <c r="H8" s="100" t="s">
        <v>105</v>
      </c>
    </row>
    <row r="9" spans="1:8" ht="13.5">
      <c r="A9" s="122" t="s">
        <v>103</v>
      </c>
      <c r="B9" s="98">
        <v>5</v>
      </c>
      <c r="C9" s="122" t="s">
        <v>107</v>
      </c>
      <c r="D9" s="99">
        <v>6</v>
      </c>
      <c r="E9" s="99">
        <v>9066</v>
      </c>
      <c r="F9" s="99">
        <v>0</v>
      </c>
      <c r="G9" s="99">
        <v>9066</v>
      </c>
      <c r="H9" s="100" t="s">
        <v>105</v>
      </c>
    </row>
    <row r="10" spans="1:8" ht="13.5">
      <c r="A10" s="122" t="s">
        <v>103</v>
      </c>
      <c r="B10" s="98">
        <v>6</v>
      </c>
      <c r="C10" s="122" t="s">
        <v>108</v>
      </c>
      <c r="D10" s="99">
        <v>6</v>
      </c>
      <c r="E10" s="99">
        <v>4720</v>
      </c>
      <c r="F10" s="99">
        <v>0</v>
      </c>
      <c r="G10" s="99">
        <v>4720</v>
      </c>
      <c r="H10" s="100" t="s">
        <v>105</v>
      </c>
    </row>
    <row r="11" spans="1:8" ht="13.5">
      <c r="A11" s="122" t="s">
        <v>103</v>
      </c>
      <c r="B11" s="98">
        <v>7</v>
      </c>
      <c r="C11" s="122" t="s">
        <v>109</v>
      </c>
      <c r="D11" s="99">
        <v>6</v>
      </c>
      <c r="E11" s="99">
        <v>4720</v>
      </c>
      <c r="F11" s="99">
        <v>0</v>
      </c>
      <c r="G11" s="99">
        <v>4720</v>
      </c>
      <c r="H11" s="100" t="s">
        <v>105</v>
      </c>
    </row>
    <row r="12" spans="1:8" ht="13.5">
      <c r="A12" s="122" t="s">
        <v>103</v>
      </c>
      <c r="B12" s="98">
        <v>8</v>
      </c>
      <c r="C12" s="122" t="s">
        <v>110</v>
      </c>
      <c r="D12" s="99">
        <v>6</v>
      </c>
      <c r="E12" s="99">
        <v>4966</v>
      </c>
      <c r="F12" s="99">
        <v>0</v>
      </c>
      <c r="G12" s="99">
        <v>4966</v>
      </c>
      <c r="H12" s="100" t="s">
        <v>105</v>
      </c>
    </row>
    <row r="13" spans="1:8" ht="13.5">
      <c r="A13" s="122" t="s">
        <v>103</v>
      </c>
      <c r="B13" s="98">
        <v>9</v>
      </c>
      <c r="C13" s="122" t="s">
        <v>111</v>
      </c>
      <c r="D13" s="99">
        <v>6</v>
      </c>
      <c r="E13" s="99">
        <v>3720</v>
      </c>
      <c r="F13" s="99">
        <v>0</v>
      </c>
      <c r="G13" s="99">
        <v>3720</v>
      </c>
      <c r="H13" s="100" t="s">
        <v>105</v>
      </c>
    </row>
    <row r="14" spans="1:8" ht="13.5">
      <c r="A14" s="122" t="s">
        <v>103</v>
      </c>
      <c r="B14" s="98">
        <v>10</v>
      </c>
      <c r="C14" s="122" t="s">
        <v>112</v>
      </c>
      <c r="D14" s="99">
        <v>6</v>
      </c>
      <c r="E14" s="99">
        <v>7440</v>
      </c>
      <c r="F14" s="99">
        <v>0</v>
      </c>
      <c r="G14" s="99">
        <v>7440</v>
      </c>
      <c r="H14" s="100" t="s">
        <v>105</v>
      </c>
    </row>
    <row r="15" spans="1:8" ht="13.5">
      <c r="A15" s="122" t="s">
        <v>103</v>
      </c>
      <c r="B15" s="98">
        <v>11</v>
      </c>
      <c r="C15" s="122" t="s">
        <v>113</v>
      </c>
      <c r="D15" s="99">
        <v>6</v>
      </c>
      <c r="E15" s="99">
        <v>6808</v>
      </c>
      <c r="F15" s="99">
        <v>0</v>
      </c>
      <c r="G15" s="99">
        <v>6808</v>
      </c>
      <c r="H15" s="100" t="s">
        <v>105</v>
      </c>
    </row>
    <row r="16" spans="1:8" ht="13.5">
      <c r="A16" s="122" t="s">
        <v>103</v>
      </c>
      <c r="B16" s="98">
        <v>12</v>
      </c>
      <c r="C16" s="122" t="s">
        <v>114</v>
      </c>
      <c r="D16" s="99">
        <v>6</v>
      </c>
      <c r="E16" s="99">
        <v>6472</v>
      </c>
      <c r="F16" s="99">
        <v>0</v>
      </c>
      <c r="G16" s="99">
        <v>6472</v>
      </c>
      <c r="H16" s="100" t="s">
        <v>105</v>
      </c>
    </row>
    <row r="17" spans="1:8" ht="13.5">
      <c r="A17" s="122" t="s">
        <v>103</v>
      </c>
      <c r="B17" s="98">
        <v>13</v>
      </c>
      <c r="C17" s="122" t="s">
        <v>115</v>
      </c>
      <c r="D17" s="99">
        <v>6</v>
      </c>
      <c r="E17" s="99">
        <v>4311</v>
      </c>
      <c r="F17" s="99">
        <v>0</v>
      </c>
      <c r="G17" s="99">
        <v>4311</v>
      </c>
      <c r="H17" s="100" t="s">
        <v>105</v>
      </c>
    </row>
    <row r="18" spans="1:8" ht="13.5">
      <c r="A18" s="122" t="s">
        <v>103</v>
      </c>
      <c r="B18" s="98">
        <v>14</v>
      </c>
      <c r="C18" s="122" t="s">
        <v>116</v>
      </c>
      <c r="D18" s="99">
        <v>6</v>
      </c>
      <c r="E18" s="99">
        <v>10097</v>
      </c>
      <c r="F18" s="99">
        <v>0</v>
      </c>
      <c r="G18" s="99">
        <v>10097</v>
      </c>
      <c r="H18" s="100" t="s">
        <v>105</v>
      </c>
    </row>
    <row r="19" spans="1:8" ht="13.5">
      <c r="A19" s="122" t="s">
        <v>103</v>
      </c>
      <c r="B19" s="98">
        <v>15</v>
      </c>
      <c r="C19" s="122" t="s">
        <v>117</v>
      </c>
      <c r="D19" s="99">
        <v>6</v>
      </c>
      <c r="E19" s="99">
        <v>5051</v>
      </c>
      <c r="F19" s="99">
        <v>0</v>
      </c>
      <c r="G19" s="99">
        <v>5051</v>
      </c>
      <c r="H19" s="100" t="s">
        <v>105</v>
      </c>
    </row>
    <row r="20" spans="1:8" ht="13.5">
      <c r="A20" s="122" t="s">
        <v>103</v>
      </c>
      <c r="B20" s="98">
        <v>16</v>
      </c>
      <c r="C20" s="122" t="s">
        <v>118</v>
      </c>
      <c r="D20" s="99">
        <v>6</v>
      </c>
      <c r="E20" s="99">
        <v>12411</v>
      </c>
      <c r="F20" s="99">
        <v>0</v>
      </c>
      <c r="G20" s="99">
        <v>12411</v>
      </c>
      <c r="H20" s="100" t="s">
        <v>105</v>
      </c>
    </row>
    <row r="21" spans="1:8" ht="13.5">
      <c r="A21" s="122" t="s">
        <v>103</v>
      </c>
      <c r="B21" s="98">
        <v>17</v>
      </c>
      <c r="C21" s="122" t="s">
        <v>119</v>
      </c>
      <c r="D21" s="99">
        <v>6</v>
      </c>
      <c r="E21" s="99">
        <v>4752</v>
      </c>
      <c r="F21" s="99">
        <v>0</v>
      </c>
      <c r="G21" s="99">
        <v>4752</v>
      </c>
      <c r="H21" s="100" t="s">
        <v>105</v>
      </c>
    </row>
    <row r="22" spans="1:8" ht="13.5">
      <c r="A22" s="122" t="s">
        <v>103</v>
      </c>
      <c r="B22" s="98">
        <v>18</v>
      </c>
      <c r="C22" s="122" t="s">
        <v>120</v>
      </c>
      <c r="D22" s="99">
        <v>6</v>
      </c>
      <c r="E22" s="99">
        <v>4752</v>
      </c>
      <c r="F22" s="99">
        <v>0</v>
      </c>
      <c r="G22" s="99">
        <v>4752</v>
      </c>
      <c r="H22" s="100" t="s">
        <v>105</v>
      </c>
    </row>
    <row r="23" spans="1:8" ht="13.5">
      <c r="A23" s="122" t="s">
        <v>103</v>
      </c>
      <c r="B23" s="98">
        <v>19</v>
      </c>
      <c r="C23" s="122" t="s">
        <v>121</v>
      </c>
      <c r="D23" s="99">
        <v>6</v>
      </c>
      <c r="E23" s="99">
        <v>4752</v>
      </c>
      <c r="F23" s="99">
        <v>0</v>
      </c>
      <c r="G23" s="99">
        <v>4752</v>
      </c>
      <c r="H23" s="100" t="s">
        <v>105</v>
      </c>
    </row>
    <row r="24" spans="1:8" ht="13.5">
      <c r="A24" s="122" t="s">
        <v>103</v>
      </c>
      <c r="B24" s="98">
        <v>20</v>
      </c>
      <c r="C24" s="122" t="s">
        <v>122</v>
      </c>
      <c r="D24" s="99">
        <v>6</v>
      </c>
      <c r="E24" s="99">
        <v>5010</v>
      </c>
      <c r="F24" s="99">
        <v>0</v>
      </c>
      <c r="G24" s="99">
        <v>5010</v>
      </c>
      <c r="H24" s="100" t="s">
        <v>105</v>
      </c>
    </row>
    <row r="25" spans="1:8" ht="13.5">
      <c r="A25" s="122" t="s">
        <v>103</v>
      </c>
      <c r="B25" s="98">
        <v>21</v>
      </c>
      <c r="C25" s="122" t="s">
        <v>123</v>
      </c>
      <c r="D25" s="99">
        <v>6</v>
      </c>
      <c r="E25" s="99">
        <v>4823</v>
      </c>
      <c r="F25" s="99">
        <v>0</v>
      </c>
      <c r="G25" s="99">
        <v>4823</v>
      </c>
      <c r="H25" s="100" t="s">
        <v>105</v>
      </c>
    </row>
    <row r="26" spans="1:8" ht="13.5">
      <c r="A26" s="122" t="s">
        <v>103</v>
      </c>
      <c r="B26" s="98">
        <v>22</v>
      </c>
      <c r="C26" s="122" t="s">
        <v>124</v>
      </c>
      <c r="D26" s="99">
        <v>6</v>
      </c>
      <c r="E26" s="99">
        <v>7770</v>
      </c>
      <c r="F26" s="99">
        <v>0</v>
      </c>
      <c r="G26" s="99">
        <v>7770</v>
      </c>
      <c r="H26" s="100" t="s">
        <v>105</v>
      </c>
    </row>
    <row r="27" spans="1:8" ht="13.5">
      <c r="A27" s="122" t="s">
        <v>103</v>
      </c>
      <c r="B27" s="98">
        <v>23</v>
      </c>
      <c r="C27" s="122" t="s">
        <v>125</v>
      </c>
      <c r="D27" s="99">
        <v>6</v>
      </c>
      <c r="E27" s="99">
        <v>7612</v>
      </c>
      <c r="F27" s="99">
        <v>0</v>
      </c>
      <c r="G27" s="99">
        <v>7612</v>
      </c>
      <c r="H27" s="100" t="s">
        <v>105</v>
      </c>
    </row>
    <row r="28" spans="1:8" ht="13.5">
      <c r="A28" s="122" t="s">
        <v>103</v>
      </c>
      <c r="B28" s="98">
        <v>24</v>
      </c>
      <c r="C28" s="122" t="s">
        <v>126</v>
      </c>
      <c r="D28" s="99">
        <v>6</v>
      </c>
      <c r="E28" s="99">
        <v>3809</v>
      </c>
      <c r="F28" s="99">
        <v>0</v>
      </c>
      <c r="G28" s="99">
        <v>3809</v>
      </c>
      <c r="H28" s="100" t="s">
        <v>105</v>
      </c>
    </row>
    <row r="29" spans="1:8" ht="13.5">
      <c r="A29" s="122" t="s">
        <v>103</v>
      </c>
      <c r="B29" s="98">
        <v>25</v>
      </c>
      <c r="C29" s="122" t="s">
        <v>127</v>
      </c>
      <c r="D29" s="99">
        <v>6</v>
      </c>
      <c r="E29" s="99">
        <v>4015</v>
      </c>
      <c r="F29" s="99">
        <v>0</v>
      </c>
      <c r="G29" s="99">
        <v>4015</v>
      </c>
      <c r="H29" s="100" t="s">
        <v>105</v>
      </c>
    </row>
    <row r="30" spans="1:8" ht="13.5">
      <c r="A30" s="122" t="s">
        <v>103</v>
      </c>
      <c r="B30" s="98">
        <v>26</v>
      </c>
      <c r="C30" s="122" t="s">
        <v>128</v>
      </c>
      <c r="D30" s="99">
        <v>6</v>
      </c>
      <c r="E30" s="99">
        <v>3517</v>
      </c>
      <c r="F30" s="99">
        <v>0</v>
      </c>
      <c r="G30" s="99">
        <v>3517</v>
      </c>
      <c r="H30" s="100" t="s">
        <v>105</v>
      </c>
    </row>
    <row r="31" spans="1:8" ht="13.5">
      <c r="A31" s="122" t="s">
        <v>103</v>
      </c>
      <c r="B31" s="98">
        <v>27</v>
      </c>
      <c r="C31" s="122" t="s">
        <v>129</v>
      </c>
      <c r="D31" s="99">
        <v>6</v>
      </c>
      <c r="E31" s="99">
        <v>2401</v>
      </c>
      <c r="F31" s="99">
        <v>0</v>
      </c>
      <c r="G31" s="99">
        <v>2401</v>
      </c>
      <c r="H31" s="100" t="s">
        <v>105</v>
      </c>
    </row>
    <row r="32" spans="1:8" ht="13.5">
      <c r="A32" s="122" t="s">
        <v>103</v>
      </c>
      <c r="B32" s="98">
        <v>28</v>
      </c>
      <c r="C32" s="122" t="s">
        <v>130</v>
      </c>
      <c r="D32" s="99">
        <v>3.5</v>
      </c>
      <c r="E32" s="99">
        <v>1677</v>
      </c>
      <c r="F32" s="99">
        <v>0</v>
      </c>
      <c r="G32" s="99">
        <v>1677</v>
      </c>
      <c r="H32" s="100" t="s">
        <v>105</v>
      </c>
    </row>
    <row r="33" spans="1:8" ht="13.5">
      <c r="A33" s="122" t="s">
        <v>103</v>
      </c>
      <c r="B33" s="98">
        <v>29</v>
      </c>
      <c r="C33" s="122" t="s">
        <v>131</v>
      </c>
      <c r="D33" s="99">
        <v>6</v>
      </c>
      <c r="E33" s="99">
        <v>7477</v>
      </c>
      <c r="F33" s="99">
        <v>0</v>
      </c>
      <c r="G33" s="99">
        <v>7477</v>
      </c>
      <c r="H33" s="100" t="s">
        <v>105</v>
      </c>
    </row>
    <row r="34" spans="1:8" ht="13.5">
      <c r="A34" s="121" t="s">
        <v>132</v>
      </c>
      <c r="B34" s="93"/>
      <c r="C34" s="93"/>
      <c r="D34" s="101">
        <v>185.5</v>
      </c>
      <c r="E34" s="101">
        <v>156007</v>
      </c>
      <c r="F34" s="101">
        <v>0</v>
      </c>
      <c r="G34" s="101">
        <v>156007</v>
      </c>
      <c r="H34" s="96" t="s">
        <v>105</v>
      </c>
    </row>
    <row r="35" spans="1:8" ht="13.5">
      <c r="A35" s="121" t="s">
        <v>133</v>
      </c>
      <c r="B35" s="93"/>
      <c r="C35" s="93"/>
      <c r="D35" s="101">
        <v>185.5</v>
      </c>
      <c r="E35" s="101">
        <v>156007</v>
      </c>
      <c r="F35" s="101">
        <v>0</v>
      </c>
      <c r="G35" s="101">
        <v>156007</v>
      </c>
      <c r="H35" s="96" t="s">
        <v>105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10.140625" style="0" bestFit="1" customWidth="1"/>
    <col min="4" max="4" width="4.57421875" style="0" bestFit="1" customWidth="1"/>
    <col min="5" max="5" width="17.28125" style="0" customWidth="1"/>
    <col min="6" max="6" width="24.57421875" style="0" customWidth="1"/>
    <col min="7" max="7" width="5.8515625" style="0" bestFit="1" customWidth="1"/>
    <col min="8" max="8" width="5.8515625" style="0" customWidth="1"/>
    <col min="9" max="9" width="10.140625" style="0" bestFit="1" customWidth="1"/>
    <col min="10" max="10" width="9.8515625" style="0" bestFit="1" customWidth="1"/>
    <col min="11" max="11" width="6.00390625" style="0" bestFit="1" customWidth="1"/>
  </cols>
  <sheetData>
    <row r="1" spans="1:13" ht="13.5">
      <c r="A1" s="138" t="s">
        <v>87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3.5">
      <c r="A2" s="138" t="s">
        <v>167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3.5">
      <c r="A3" s="138" t="s">
        <v>168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3.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0" ht="27">
      <c r="A5" s="121" t="s">
        <v>169</v>
      </c>
      <c r="B5" s="121" t="s">
        <v>98</v>
      </c>
      <c r="C5" s="121" t="s">
        <v>89</v>
      </c>
      <c r="D5" s="121" t="s">
        <v>90</v>
      </c>
      <c r="E5" s="121" t="s">
        <v>88</v>
      </c>
      <c r="F5" s="121" t="s">
        <v>91</v>
      </c>
      <c r="G5" s="121" t="s">
        <v>92</v>
      </c>
      <c r="H5" s="121" t="s">
        <v>93</v>
      </c>
      <c r="I5" s="96" t="s">
        <v>170</v>
      </c>
      <c r="J5" s="96" t="s">
        <v>171</v>
      </c>
    </row>
    <row r="6" spans="1:10" ht="13.5">
      <c r="A6" s="98">
        <v>2264</v>
      </c>
      <c r="B6" s="122" t="s">
        <v>103</v>
      </c>
      <c r="C6" s="97">
        <v>41670</v>
      </c>
      <c r="D6" s="98">
        <v>16</v>
      </c>
      <c r="E6" s="122" t="s">
        <v>94</v>
      </c>
      <c r="F6" s="122" t="s">
        <v>95</v>
      </c>
      <c r="G6" s="93"/>
      <c r="H6" s="93"/>
      <c r="I6" s="99">
        <v>3113</v>
      </c>
      <c r="J6" s="99">
        <v>3113</v>
      </c>
    </row>
    <row r="7" spans="1:10" ht="13.5">
      <c r="A7" s="98">
        <v>2264</v>
      </c>
      <c r="B7" s="122" t="s">
        <v>103</v>
      </c>
      <c r="C7" s="97">
        <v>41724</v>
      </c>
      <c r="D7" s="98">
        <v>111</v>
      </c>
      <c r="E7" s="122" t="s">
        <v>142</v>
      </c>
      <c r="F7" s="122" t="s">
        <v>172</v>
      </c>
      <c r="G7" s="93"/>
      <c r="H7" s="93"/>
      <c r="I7" s="99">
        <v>2679</v>
      </c>
      <c r="J7" s="99">
        <v>5792</v>
      </c>
    </row>
    <row r="8" spans="1:10" ht="13.5">
      <c r="A8" s="98">
        <v>2264</v>
      </c>
      <c r="B8" s="122" t="s">
        <v>103</v>
      </c>
      <c r="C8" s="97">
        <v>41729</v>
      </c>
      <c r="D8" s="98">
        <v>17</v>
      </c>
      <c r="E8" s="122" t="s">
        <v>94</v>
      </c>
      <c r="F8" s="122" t="s">
        <v>95</v>
      </c>
      <c r="G8" s="93"/>
      <c r="H8" s="93"/>
      <c r="I8" s="99">
        <v>3595</v>
      </c>
      <c r="J8" s="99">
        <v>9387</v>
      </c>
    </row>
    <row r="9" spans="1:10" ht="13.5">
      <c r="A9" s="98">
        <v>2264</v>
      </c>
      <c r="B9" s="122" t="s">
        <v>103</v>
      </c>
      <c r="C9" s="97">
        <v>41790</v>
      </c>
      <c r="D9" s="98">
        <v>18</v>
      </c>
      <c r="E9" s="122" t="s">
        <v>94</v>
      </c>
      <c r="F9" s="122" t="s">
        <v>95</v>
      </c>
      <c r="G9" s="93"/>
      <c r="H9" s="93"/>
      <c r="I9" s="99">
        <v>3595</v>
      </c>
      <c r="J9" s="99">
        <v>12982</v>
      </c>
    </row>
    <row r="10" spans="1:10" ht="13.5">
      <c r="A10" s="98">
        <v>2264</v>
      </c>
      <c r="B10" s="122" t="s">
        <v>103</v>
      </c>
      <c r="C10" s="97">
        <v>41851</v>
      </c>
      <c r="D10" s="98">
        <v>19</v>
      </c>
      <c r="E10" s="122" t="s">
        <v>94</v>
      </c>
      <c r="F10" s="122" t="s">
        <v>95</v>
      </c>
      <c r="G10" s="93"/>
      <c r="H10" s="93"/>
      <c r="I10" s="99">
        <v>3595</v>
      </c>
      <c r="J10" s="99">
        <v>16577</v>
      </c>
    </row>
    <row r="11" spans="1:10" ht="13.5">
      <c r="A11" s="98">
        <v>2264</v>
      </c>
      <c r="B11" s="122" t="s">
        <v>103</v>
      </c>
      <c r="C11" s="97">
        <v>41912</v>
      </c>
      <c r="D11" s="98">
        <v>20</v>
      </c>
      <c r="E11" s="122" t="s">
        <v>94</v>
      </c>
      <c r="F11" s="122" t="s">
        <v>95</v>
      </c>
      <c r="G11" s="93"/>
      <c r="H11" s="93"/>
      <c r="I11" s="99">
        <v>3595</v>
      </c>
      <c r="J11" s="99">
        <v>20172</v>
      </c>
    </row>
    <row r="12" spans="1:10" ht="13.5">
      <c r="A12" s="98">
        <v>2264</v>
      </c>
      <c r="B12" s="122" t="s">
        <v>103</v>
      </c>
      <c r="C12" s="97">
        <v>41973</v>
      </c>
      <c r="D12" s="98">
        <v>21</v>
      </c>
      <c r="E12" s="122" t="s">
        <v>94</v>
      </c>
      <c r="F12" s="122" t="s">
        <v>95</v>
      </c>
      <c r="G12" s="93"/>
      <c r="H12" s="93"/>
      <c r="I12" s="99">
        <v>3595</v>
      </c>
      <c r="J12" s="99">
        <v>23767</v>
      </c>
    </row>
    <row r="14" ht="12.75">
      <c r="J14" s="66">
        <f>J12-I7</f>
        <v>21088</v>
      </c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421875" style="0" customWidth="1"/>
  </cols>
  <sheetData>
    <row r="1" spans="1:5" s="117" customFormat="1" ht="14.25">
      <c r="A1" s="115" t="s">
        <v>158</v>
      </c>
      <c r="B1" s="115">
        <v>2010</v>
      </c>
      <c r="C1" s="115">
        <v>2011</v>
      </c>
      <c r="D1" s="115">
        <v>2012</v>
      </c>
      <c r="E1" s="116" t="s">
        <v>137</v>
      </c>
    </row>
    <row r="2" spans="1:5" ht="12.75">
      <c r="A2" t="s">
        <v>34</v>
      </c>
      <c r="B2" s="21">
        <f>5373/46.46</f>
        <v>115.64786913473957</v>
      </c>
      <c r="C2" s="21">
        <f>6409/63.41</f>
        <v>101.07238605898124</v>
      </c>
      <c r="D2" s="21">
        <f>7745/67.36</f>
        <v>114.979216152019</v>
      </c>
      <c r="E2" s="21">
        <f>AVERAGE(B2:D2)</f>
        <v>110.56649044857993</v>
      </c>
    </row>
    <row r="3" spans="1:5" ht="12.75">
      <c r="A3" t="s">
        <v>150</v>
      </c>
      <c r="B3" s="21">
        <f>B2/4</f>
        <v>28.91196728368489</v>
      </c>
      <c r="C3" s="21">
        <f>C2/4</f>
        <v>25.26809651474531</v>
      </c>
      <c r="D3" s="21">
        <f>D2/4</f>
        <v>28.74480403800475</v>
      </c>
      <c r="E3" s="21">
        <f>AVERAGE(B3:D3)</f>
        <v>27.64162261214498</v>
      </c>
    </row>
    <row r="5" spans="1:5" s="117" customFormat="1" ht="14.25">
      <c r="A5" s="118" t="s">
        <v>157</v>
      </c>
      <c r="B5" s="116" t="s">
        <v>173</v>
      </c>
      <c r="C5" s="116" t="s">
        <v>151</v>
      </c>
      <c r="D5" s="116" t="s">
        <v>149</v>
      </c>
      <c r="E5" s="116" t="s">
        <v>33</v>
      </c>
    </row>
    <row r="6" spans="1:4" ht="12.75">
      <c r="A6" t="s">
        <v>152</v>
      </c>
      <c r="B6">
        <v>0</v>
      </c>
      <c r="C6">
        <v>4</v>
      </c>
      <c r="D6">
        <v>4</v>
      </c>
    </row>
    <row r="7" spans="1:4" ht="12.75">
      <c r="A7" t="s">
        <v>153</v>
      </c>
      <c r="B7">
        <v>5</v>
      </c>
      <c r="C7">
        <v>7</v>
      </c>
      <c r="D7">
        <v>12</v>
      </c>
    </row>
    <row r="8" spans="1:5" ht="12.75">
      <c r="A8" s="92" t="s">
        <v>154</v>
      </c>
      <c r="B8" s="119">
        <f>$E$3</f>
        <v>27.64162261214498</v>
      </c>
      <c r="C8" s="119">
        <f>$E$3</f>
        <v>27.64162261214498</v>
      </c>
      <c r="D8" s="119">
        <f>$E$3</f>
        <v>27.64162261214498</v>
      </c>
      <c r="E8" s="92"/>
    </row>
    <row r="9" spans="1:5" ht="13.5" thickBot="1">
      <c r="A9" s="34" t="s">
        <v>161</v>
      </c>
      <c r="B9" s="21">
        <f>B6*B8*B7/12</f>
        <v>0</v>
      </c>
      <c r="C9" s="21">
        <f>C6*C8*C7/12</f>
        <v>64.4971194283383</v>
      </c>
      <c r="D9" s="21">
        <f>D6*D8*D7/12</f>
        <v>110.56649044857993</v>
      </c>
      <c r="E9" s="120">
        <f>SUM(B9:D9)</f>
        <v>175.06360987691824</v>
      </c>
    </row>
    <row r="10" ht="13.5" thickTop="1"/>
    <row r="11" spans="1:5" ht="12.75">
      <c r="A11" s="34" t="s">
        <v>162</v>
      </c>
      <c r="E11">
        <f>Aflæsninger!E26</f>
        <v>652</v>
      </c>
    </row>
    <row r="12" spans="1:5" ht="12.75">
      <c r="A12" s="34" t="s">
        <v>76</v>
      </c>
      <c r="E12" s="21">
        <f>'Vandregnskab '!D46</f>
        <v>44.10000000000002</v>
      </c>
    </row>
    <row r="13" spans="1:5" ht="12.75">
      <c r="A13" s="34" t="s">
        <v>163</v>
      </c>
      <c r="E13" s="21">
        <f>E11-E12-E9</f>
        <v>432.83639012308174</v>
      </c>
    </row>
    <row r="14" spans="1:5" ht="12.75">
      <c r="A14" s="92" t="s">
        <v>155</v>
      </c>
      <c r="B14" s="92"/>
      <c r="C14" s="92"/>
      <c r="D14" s="92"/>
      <c r="E14" s="123">
        <f>'Vandregnskab '!D8</f>
        <v>66.68083067092651</v>
      </c>
    </row>
    <row r="15" spans="1:5" ht="13.5" thickBot="1">
      <c r="A15" t="s">
        <v>156</v>
      </c>
      <c r="E15" s="120">
        <f>E13*E14</f>
        <v>28861.8900380123</v>
      </c>
    </row>
    <row r="16" ht="13.5" thickTop="1"/>
    <row r="17" spans="1:5" ht="12.75">
      <c r="A17" s="34" t="s">
        <v>176</v>
      </c>
      <c r="E17" s="119">
        <f>E15*8006.45/18800</f>
        <v>12291.557419938488</v>
      </c>
    </row>
    <row r="19" spans="1:5" ht="13.5" thickBot="1">
      <c r="A19" s="34" t="s">
        <v>177</v>
      </c>
      <c r="E19" s="120">
        <f>E15-E17</f>
        <v>16570.332618073815</v>
      </c>
    </row>
    <row r="20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 NORDISK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Rasmussen</dc:creator>
  <cp:keywords/>
  <dc:description/>
  <cp:lastModifiedBy>Dan Mølholm</cp:lastModifiedBy>
  <cp:lastPrinted>2015-03-18T16:55:27Z</cp:lastPrinted>
  <dcterms:created xsi:type="dcterms:W3CDTF">2000-08-12T16:15:10Z</dcterms:created>
  <dcterms:modified xsi:type="dcterms:W3CDTF">2015-05-03T23:08:45Z</dcterms:modified>
  <cp:category/>
  <cp:version/>
  <cp:contentType/>
  <cp:contentStatus/>
</cp:coreProperties>
</file>