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11955" activeTab="0"/>
  </bookViews>
  <sheets>
    <sheet name="Vandregnskab " sheetId="1" r:id="rId1"/>
    <sheet name="Fejlopkrævning" sheetId="2" r:id="rId2"/>
    <sheet name="Korrektion" sheetId="3" r:id="rId3"/>
    <sheet name="Antal hoveder" sheetId="4" r:id="rId4"/>
    <sheet name="Aflæsninger" sheetId="5" r:id="rId5"/>
    <sheet name="a conto bofæller" sheetId="6" r:id="rId6"/>
    <sheet name="a conto fælleshuset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<sst xmlns="http://schemas.openxmlformats.org/spreadsheetml/2006/main" count="392" uniqueCount="171">
  <si>
    <t>1</t>
  </si>
  <si>
    <t>2</t>
  </si>
  <si>
    <t>3</t>
  </si>
  <si>
    <t xml:space="preserve"> </t>
  </si>
  <si>
    <t>4</t>
  </si>
  <si>
    <t>5</t>
  </si>
  <si>
    <t>6</t>
  </si>
  <si>
    <t>7</t>
  </si>
  <si>
    <t>8</t>
  </si>
  <si>
    <t>9</t>
  </si>
  <si>
    <t>10</t>
  </si>
  <si>
    <t>11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</si>
  <si>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</si>
  <si>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</si>
  <si>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</si>
  <si>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</si>
  <si>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</si>
  <si>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</si>
  <si>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</si>
  <si>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</si>
  <si>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</si>
  <si>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</si>
  <si>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16</t>
  </si>
  <si>
    <t>personer</t>
  </si>
  <si>
    <t>Antal</t>
  </si>
  <si>
    <t>26A</t>
  </si>
  <si>
    <t>26C</t>
  </si>
  <si>
    <r>
      <t>m</t>
    </r>
    <r>
      <rPr>
        <vertAlign val="superscript"/>
        <sz val="10"/>
        <rFont val="Arial"/>
        <family val="2"/>
      </rPr>
      <t>3</t>
    </r>
  </si>
  <si>
    <t>kr.</t>
  </si>
  <si>
    <t>Hus nr.</t>
  </si>
  <si>
    <t>A cto.</t>
  </si>
  <si>
    <t>Vandforbrug</t>
  </si>
  <si>
    <t>pr. hus</t>
  </si>
  <si>
    <t>Total udgift:</t>
  </si>
  <si>
    <t>årlig.</t>
  </si>
  <si>
    <t>i alt</t>
  </si>
  <si>
    <t>m3</t>
  </si>
  <si>
    <t>kr</t>
  </si>
  <si>
    <t>Totalt for husstande</t>
  </si>
  <si>
    <t>Totalt for fælleshus</t>
  </si>
  <si>
    <r>
      <t>gruppe</t>
    </r>
    <r>
      <rPr>
        <sz val="7"/>
        <rFont val="Arial"/>
        <family val="0"/>
      </rPr>
      <t xml:space="preserve"> </t>
    </r>
  </si>
  <si>
    <t>gruppe</t>
  </si>
  <si>
    <t xml:space="preserve"> Opkrævet af kommunen</t>
  </si>
  <si>
    <r>
      <t xml:space="preserve"> Beregnet pris i kr/m</t>
    </r>
    <r>
      <rPr>
        <vertAlign val="superscript"/>
        <sz val="10"/>
        <rFont val="Arial"/>
        <family val="2"/>
      </rPr>
      <t>3</t>
    </r>
  </si>
  <si>
    <t>Bimålere i alt</t>
  </si>
  <si>
    <t>Kontrol</t>
  </si>
  <si>
    <t>Indbetalt</t>
  </si>
  <si>
    <t>Fælleshus samt Tab:</t>
  </si>
  <si>
    <t xml:space="preserve">A conto </t>
  </si>
  <si>
    <t>næste år</t>
  </si>
  <si>
    <t>per GEF</t>
  </si>
  <si>
    <r>
      <t>Totalt antal m</t>
    </r>
    <r>
      <rPr>
        <vertAlign val="superscript"/>
        <sz val="10"/>
        <rFont val="Arial"/>
        <family val="2"/>
      </rPr>
      <t>3</t>
    </r>
  </si>
  <si>
    <r>
      <t>A conto-m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-pris:</t>
    </r>
  </si>
  <si>
    <t>Sidste år</t>
  </si>
  <si>
    <t>Ændring</t>
  </si>
  <si>
    <t>Difference</t>
  </si>
  <si>
    <t>Regulering</t>
  </si>
  <si>
    <t>Betaling</t>
  </si>
  <si>
    <t>Med tillæg for varmt vand fra Hus 26</t>
  </si>
  <si>
    <t>Minus varmt vand til Hus 24 og 25</t>
  </si>
  <si>
    <t xml:space="preserve"> Aflæsningerne eksl. Grønt vand</t>
  </si>
  <si>
    <t>Aflæsning</t>
  </si>
  <si>
    <t>Forbrug/dag</t>
  </si>
  <si>
    <t>Hovedmåler</t>
  </si>
  <si>
    <t>Grønt vand</t>
  </si>
  <si>
    <t>Hoved - Grønt</t>
  </si>
  <si>
    <t>Bruges til at regne m3-prisen ud. Grønt vand fordeles hermed på alle</t>
  </si>
  <si>
    <t>Fyrgrupper</t>
  </si>
  <si>
    <t>1 til 3</t>
  </si>
  <si>
    <t>4 til 6</t>
  </si>
  <si>
    <t>7 til 8</t>
  </si>
  <si>
    <t>9 til 11</t>
  </si>
  <si>
    <t>12 til 14</t>
  </si>
  <si>
    <t>15 til 17</t>
  </si>
  <si>
    <t>18 til 20</t>
  </si>
  <si>
    <t>21 til 23</t>
  </si>
  <si>
    <t>26 inkl. Grønt vand</t>
  </si>
  <si>
    <t>I alt bimålere</t>
  </si>
  <si>
    <t>26 eksl. grønt vand</t>
  </si>
  <si>
    <t>Bruges til afregningen minus varmt vand til hus 24-25</t>
  </si>
  <si>
    <t>Varmt vand Hus 24-25</t>
  </si>
  <si>
    <t>Lægges til Hus 24-25 og trækkes fra Hus 26s forbrug</t>
  </si>
  <si>
    <t>Målt "privatforbrug"</t>
  </si>
  <si>
    <t>Gennemsnit fyrgrupper (minus 7-8)</t>
  </si>
  <si>
    <t>bakken27</t>
  </si>
  <si>
    <t>Differens mellem totalforbrug og registreret forbrug fra bimålerne fordeles ud på alle 27 husstande via GEF</t>
  </si>
  <si>
    <t>per</t>
  </si>
  <si>
    <t>person</t>
  </si>
  <si>
    <t>Næste år</t>
  </si>
  <si>
    <t>Vaskeri</t>
  </si>
  <si>
    <t>Fælleshus rent</t>
  </si>
  <si>
    <t>304714 - Bofællesskabet Bakken I/S</t>
  </si>
  <si>
    <t>Bogføring &gt; Posteringer på konto &gt;</t>
  </si>
  <si>
    <t>2264 - Vand</t>
  </si>
  <si>
    <t>Type</t>
  </si>
  <si>
    <t>Dato</t>
  </si>
  <si>
    <t>Bilag</t>
  </si>
  <si>
    <t>Tekst</t>
  </si>
  <si>
    <t>Moms</t>
  </si>
  <si>
    <t>Beløb (DKK)</t>
  </si>
  <si>
    <t>Saldo (DKK)</t>
  </si>
  <si>
    <t>Valuta</t>
  </si>
  <si>
    <t>Systempostering</t>
  </si>
  <si>
    <t>Fælleshusets vand a conto</t>
  </si>
  <si>
    <t>Rapport &gt; Debitorer &gt;</t>
  </si>
  <si>
    <t>Gruppe</t>
  </si>
  <si>
    <t>Nr.</t>
  </si>
  <si>
    <t>Navn</t>
  </si>
  <si>
    <t>Omsætning</t>
  </si>
  <si>
    <t>Omkostninger</t>
  </si>
  <si>
    <t>Bruttofortj.</t>
  </si>
  <si>
    <t>Bruttofortj. i %</t>
  </si>
  <si>
    <t>Vand</t>
  </si>
  <si>
    <t>Vand a conto - Hus 1</t>
  </si>
  <si>
    <t>100,00%</t>
  </si>
  <si>
    <t>Vand a conto - Hus 2</t>
  </si>
  <si>
    <t>Vand a conto - Hus 3</t>
  </si>
  <si>
    <t>Vand a conto - Hus 4</t>
  </si>
  <si>
    <t>Vand a conto - Hus 5</t>
  </si>
  <si>
    <t>Vand a conto - Hus 6</t>
  </si>
  <si>
    <t>Vand a conto - Hus 7</t>
  </si>
  <si>
    <t>Vand a conto - Hus 8</t>
  </si>
  <si>
    <t>Vand a conto - Hus 9</t>
  </si>
  <si>
    <t>Vand a conto - Hus 10</t>
  </si>
  <si>
    <t>Vand a conto - Hus 11</t>
  </si>
  <si>
    <t>Vand a conto - Hus 12</t>
  </si>
  <si>
    <t>Vand a conto - Hus 13</t>
  </si>
  <si>
    <t>Vand a conto - Hus 14</t>
  </si>
  <si>
    <t>Vand a conto - Hus 15</t>
  </si>
  <si>
    <t>Vand a conto - Hus 16</t>
  </si>
  <si>
    <t>Vand a conto - Hus 17</t>
  </si>
  <si>
    <t>Vand a conto - Hus 18</t>
  </si>
  <si>
    <t>Vand a conto - Hus 19</t>
  </si>
  <si>
    <t>Vand a conto - Hus 20</t>
  </si>
  <si>
    <t>Vand a conto - Hus 21</t>
  </si>
  <si>
    <t>Vand a conto - Hus 22</t>
  </si>
  <si>
    <t>Vand a conto - Hus 23</t>
  </si>
  <si>
    <t>Vand a conto - Hus 24</t>
  </si>
  <si>
    <t>Vand a conto - Hus 25</t>
  </si>
  <si>
    <t>Vand a conto - Hus 26A</t>
  </si>
  <si>
    <t>Vand a conto - Hus 26C</t>
  </si>
  <si>
    <t>Vand i alt:</t>
  </si>
  <si>
    <t>Total:</t>
  </si>
  <si>
    <t>Tallene tages fra årets vaskeriregnskab</t>
  </si>
  <si>
    <t>Omsætningsstatistik for varer - perioden 01.01.12-31.12.12 - (enheder: Alle)</t>
  </si>
  <si>
    <t>Hus 6</t>
  </si>
  <si>
    <t>Andel af regulering</t>
  </si>
  <si>
    <t>Fra</t>
  </si>
  <si>
    <t>Til</t>
  </si>
  <si>
    <t>Snit</t>
  </si>
  <si>
    <t>Sælger</t>
  </si>
  <si>
    <t>Køber</t>
  </si>
  <si>
    <t>Hus 14</t>
  </si>
  <si>
    <t>Hus 23</t>
  </si>
  <si>
    <t>Hus 20</t>
  </si>
  <si>
    <t>Hus 26A</t>
  </si>
  <si>
    <t>Vandregnskab 2012 Version 2</t>
  </si>
  <si>
    <t>Vandregnskab 2012 Version 1</t>
  </si>
  <si>
    <t>Hus nr</t>
  </si>
  <si>
    <t>Opkrævert regulering</t>
  </si>
  <si>
    <t>Korrekt regulering</t>
  </si>
  <si>
    <t>Ekstra opkrævning</t>
  </si>
  <si>
    <t>Opkrævet a conto</t>
  </si>
  <si>
    <t>Korrekt a conto</t>
  </si>
  <si>
    <t>Diff</t>
  </si>
  <si>
    <t>I alt</t>
  </si>
  <si>
    <t>I år</t>
  </si>
  <si>
    <t>Fælleshus samt Dif.:</t>
  </si>
  <si>
    <t>Hus 27</t>
  </si>
  <si>
    <t>Vandforbrug 1. januar til den 31. december</t>
  </si>
  <si>
    <t>Hovedmåler - bimålere (Diff)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</si>
</sst>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0.0"/>
    <numFmt numFmtId="174" formatCode="#,##0.000"/>
    <numFmt numFmtId="175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0" borderId="3" applyNumberFormat="0" applyAlignment="0" applyProtection="0"/>
    <xf numFmtId="0" fontId="1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73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73" fontId="0" fillId="0" borderId="0" xfId="0" applyNumberFormat="1" applyAlignment="1">
      <alignment horizontal="right"/>
    </xf>
    <xf numFmtId="0" fontId="0" fillId="33" borderId="0" xfId="0" applyFont="1" applyFill="1" applyAlignment="1">
      <alignment horizontal="center"/>
    </xf>
    <xf numFmtId="3" fontId="0" fillId="0" borderId="0" xfId="0" applyNumberFormat="1" applyAlignment="1">
      <alignment horizontal="left"/>
    </xf>
    <xf numFmtId="0" fontId="0" fillId="0" borderId="0" xfId="0" applyAlignment="1" quotePrefix="1">
      <alignment/>
    </xf>
    <xf numFmtId="49" fontId="0" fillId="0" borderId="0" xfId="0" applyNumberFormat="1" applyAlignment="1">
      <alignment horizontal="left"/>
    </xf>
    <xf numFmtId="3" fontId="0" fillId="33" borderId="0" xfId="0" applyNumberFormat="1" applyFill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0" fillId="0" borderId="13" xfId="0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4" fontId="0" fillId="0" borderId="11" xfId="0" applyNumberFormat="1" applyFill="1" applyBorder="1" applyAlignment="1">
      <alignment/>
    </xf>
    <xf numFmtId="14" fontId="0" fillId="0" borderId="0" xfId="0" applyNumberFormat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Alignment="1" applyProtection="1">
      <alignment horizontal="right"/>
      <protection locked="0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6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14" fontId="4" fillId="0" borderId="13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13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0" xfId="0" applyNumberFormat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Alignment="1" applyProtection="1">
      <alignment/>
      <protection locked="0"/>
    </xf>
    <xf numFmtId="3" fontId="4" fillId="0" borderId="11" xfId="0" applyNumberFormat="1" applyFont="1" applyBorder="1" applyAlignment="1" applyProtection="1">
      <alignment horizontal="center"/>
      <protection locked="0"/>
    </xf>
    <xf numFmtId="49" fontId="46" fillId="0" borderId="0" xfId="0" applyNumberFormat="1" applyFont="1" applyAlignment="1">
      <alignment wrapText="1"/>
    </xf>
    <xf numFmtId="49" fontId="46" fillId="0" borderId="0" xfId="0" applyNumberFormat="1" applyFont="1" applyAlignment="1">
      <alignment horizontal="right" wrapText="1"/>
    </xf>
    <xf numFmtId="49" fontId="47" fillId="0" borderId="0" xfId="0" applyNumberFormat="1" applyFont="1" applyAlignment="1">
      <alignment wrapText="1"/>
    </xf>
    <xf numFmtId="14" fontId="47" fillId="0" borderId="0" xfId="0" applyNumberFormat="1" applyFont="1" applyAlignment="1">
      <alignment wrapText="1"/>
    </xf>
    <xf numFmtId="1" fontId="47" fillId="0" borderId="0" xfId="0" applyNumberFormat="1" applyFont="1" applyAlignment="1">
      <alignment wrapText="1"/>
    </xf>
    <xf numFmtId="4" fontId="47" fillId="0" borderId="0" xfId="0" applyNumberFormat="1" applyFont="1" applyAlignment="1">
      <alignment horizontal="right" wrapText="1"/>
    </xf>
    <xf numFmtId="49" fontId="47" fillId="0" borderId="0" xfId="0" applyNumberFormat="1" applyFont="1" applyAlignment="1">
      <alignment horizontal="right" wrapText="1"/>
    </xf>
    <xf numFmtId="4" fontId="46" fillId="0" borderId="0" xfId="0" applyNumberFormat="1" applyFont="1" applyAlignment="1">
      <alignment horizontal="right" wrapText="1"/>
    </xf>
    <xf numFmtId="2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46" fillId="0" borderId="0" xfId="0" applyNumberFormat="1" applyFont="1" applyAlignment="1">
      <alignment wrapText="1"/>
    </xf>
    <xf numFmtId="49" fontId="47" fillId="0" borderId="0" xfId="0" applyNumberFormat="1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left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ndafregning%202012%20version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ndregnskab "/>
      <sheetName val="Antal hoveder"/>
      <sheetName val="Aflæsninger"/>
      <sheetName val="a conto bofæller"/>
      <sheetName val="a conto fælleshuset"/>
    </sheetNames>
    <sheetDataSet>
      <sheetData sheetId="2">
        <row r="8">
          <cell r="E8">
            <v>2731</v>
          </cell>
        </row>
        <row r="12">
          <cell r="E12">
            <v>323</v>
          </cell>
        </row>
        <row r="13">
          <cell r="E13">
            <v>236</v>
          </cell>
        </row>
        <row r="14">
          <cell r="E14">
            <v>140</v>
          </cell>
        </row>
        <row r="15">
          <cell r="E15">
            <v>271</v>
          </cell>
        </row>
        <row r="16">
          <cell r="E16">
            <v>339</v>
          </cell>
        </row>
        <row r="17">
          <cell r="E17">
            <v>232</v>
          </cell>
        </row>
        <row r="18">
          <cell r="E18">
            <v>272</v>
          </cell>
        </row>
        <row r="19">
          <cell r="E19">
            <v>228</v>
          </cell>
        </row>
        <row r="20">
          <cell r="E20">
            <v>31</v>
          </cell>
        </row>
        <row r="21">
          <cell r="E21">
            <v>21</v>
          </cell>
        </row>
        <row r="23">
          <cell r="E23">
            <v>493</v>
          </cell>
        </row>
        <row r="26">
          <cell r="E26">
            <v>189</v>
          </cell>
        </row>
        <row r="27">
          <cell r="E27">
            <v>26.30000000000001</v>
          </cell>
        </row>
      </sheetData>
      <sheetData sheetId="3">
        <row r="6">
          <cell r="E6">
            <v>8702</v>
          </cell>
        </row>
        <row r="7">
          <cell r="E7">
            <v>2902</v>
          </cell>
        </row>
        <row r="8">
          <cell r="E8">
            <v>12706</v>
          </cell>
        </row>
        <row r="9">
          <cell r="E9">
            <v>3952</v>
          </cell>
        </row>
        <row r="10">
          <cell r="E10">
            <v>2932</v>
          </cell>
        </row>
        <row r="11">
          <cell r="E11">
            <v>4624</v>
          </cell>
        </row>
        <row r="12">
          <cell r="E12">
            <v>3660</v>
          </cell>
        </row>
        <row r="14">
          <cell r="E14">
            <v>7575</v>
          </cell>
        </row>
        <row r="15">
          <cell r="E15">
            <v>5683</v>
          </cell>
        </row>
        <row r="16">
          <cell r="E16">
            <v>5112</v>
          </cell>
        </row>
        <row r="17">
          <cell r="E17">
            <v>10119</v>
          </cell>
        </row>
        <row r="18">
          <cell r="E18">
            <v>5192</v>
          </cell>
        </row>
        <row r="19">
          <cell r="E19">
            <v>12647</v>
          </cell>
        </row>
        <row r="20">
          <cell r="E20">
            <v>5962</v>
          </cell>
        </row>
        <row r="21">
          <cell r="E21">
            <v>5962</v>
          </cell>
        </row>
        <row r="22">
          <cell r="E22">
            <v>5962</v>
          </cell>
        </row>
        <row r="23">
          <cell r="E23">
            <v>5225</v>
          </cell>
        </row>
        <row r="24">
          <cell r="E24">
            <v>4427</v>
          </cell>
        </row>
        <row r="25">
          <cell r="E25">
            <v>8854</v>
          </cell>
        </row>
        <row r="26">
          <cell r="E26">
            <v>5966</v>
          </cell>
        </row>
        <row r="27">
          <cell r="E27">
            <v>2986</v>
          </cell>
        </row>
        <row r="28">
          <cell r="E28">
            <v>3461</v>
          </cell>
        </row>
        <row r="29">
          <cell r="E29">
            <v>2896</v>
          </cell>
        </row>
        <row r="30">
          <cell r="E30">
            <v>2643</v>
          </cell>
        </row>
        <row r="31">
          <cell r="E31">
            <v>3537</v>
          </cell>
        </row>
        <row r="32">
          <cell r="E32">
            <v>6874</v>
          </cell>
        </row>
      </sheetData>
      <sheetData sheetId="4">
        <row r="11">
          <cell r="G11">
            <v>18814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="90" zoomScaleNormal="90" zoomScalePageLayoutView="0" workbookViewId="0" topLeftCell="A1">
      <pane ySplit="13" topLeftCell="A14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3" max="3" width="10.8515625" style="0" bestFit="1" customWidth="1"/>
    <col min="4" max="4" width="8.7109375" style="0" customWidth="1"/>
    <col min="5" max="5" width="20.00390625" style="21" customWidth="1"/>
    <col min="6" max="6" width="10.28125" style="0" customWidth="1"/>
    <col min="8" max="8" width="10.7109375" style="0" customWidth="1"/>
    <col min="10" max="10" width="10.8515625" style="0" bestFit="1" customWidth="1"/>
    <col min="11" max="11" width="8.57421875" style="0" customWidth="1"/>
  </cols>
  <sheetData>
    <row r="1" ht="18">
      <c r="A1" s="18" t="s">
        <v>156</v>
      </c>
    </row>
    <row r="2" spans="4:11" ht="12.75">
      <c r="D2" s="1" t="s">
        <v>166</v>
      </c>
      <c r="G2" s="1" t="s">
        <v>53</v>
      </c>
      <c r="H2" s="1" t="s">
        <v>54</v>
      </c>
      <c r="J2" t="s">
        <v>88</v>
      </c>
      <c r="K2" s="1" t="s">
        <v>54</v>
      </c>
    </row>
    <row r="4" spans="1:11" ht="14.25">
      <c r="A4" s="36" t="s">
        <v>51</v>
      </c>
      <c r="B4" s="36"/>
      <c r="C4" s="19"/>
      <c r="D4" s="72">
        <f>Aflæsninger!E8</f>
        <v>2731</v>
      </c>
      <c r="E4" s="21" t="s">
        <v>60</v>
      </c>
      <c r="G4" s="47">
        <v>2861</v>
      </c>
      <c r="H4" s="42">
        <f>($D4-$G4)/$G4</f>
        <v>-0.045438657811953866</v>
      </c>
      <c r="J4" s="47">
        <f>2*1429</f>
        <v>2858</v>
      </c>
      <c r="K4" s="42">
        <f>($J4-$D4)/$D4</f>
        <v>0.046503112413035515</v>
      </c>
    </row>
    <row r="5" spans="1:10" ht="12.75">
      <c r="A5" s="36"/>
      <c r="B5" s="36"/>
      <c r="C5" s="19"/>
      <c r="D5" s="6"/>
      <c r="G5" s="6"/>
      <c r="J5" s="6"/>
    </row>
    <row r="6" spans="1:11" ht="12.75">
      <c r="A6" s="36" t="s">
        <v>33</v>
      </c>
      <c r="B6" s="36"/>
      <c r="C6" s="19"/>
      <c r="D6" s="47">
        <f>67652.56+116306.46</f>
        <v>183959.02000000002</v>
      </c>
      <c r="E6" s="31" t="s">
        <v>42</v>
      </c>
      <c r="G6" s="47">
        <v>183427</v>
      </c>
      <c r="H6" s="42">
        <f>($D6-$G6)/$G6</f>
        <v>0.0029004454088003328</v>
      </c>
      <c r="J6" s="47">
        <f>2*(31819.58+60857.54)</f>
        <v>185354.24</v>
      </c>
      <c r="K6" s="42">
        <f>($J6-$D6)/$D6</f>
        <v>0.007584406570550179</v>
      </c>
    </row>
    <row r="7" spans="1:10" ht="12.75">
      <c r="A7" s="115"/>
      <c r="B7" s="115"/>
      <c r="C7" s="3"/>
      <c r="E7" s="5"/>
      <c r="I7" s="3"/>
      <c r="J7" s="3"/>
    </row>
    <row r="8" spans="1:11" ht="14.25">
      <c r="A8" s="36" t="s">
        <v>52</v>
      </c>
      <c r="B8" s="36"/>
      <c r="C8" s="19"/>
      <c r="D8" s="44">
        <f>D6/D4</f>
        <v>67.359582570487</v>
      </c>
      <c r="E8" s="21" t="s">
        <v>43</v>
      </c>
      <c r="G8" s="44">
        <f>G6/G4</f>
        <v>64.11289758825585</v>
      </c>
      <c r="H8" s="42">
        <f>($D8-$G8)/$G8</f>
        <v>0.05064012241471182</v>
      </c>
      <c r="J8" s="44">
        <f>J6/J4</f>
        <v>64.85452764170748</v>
      </c>
      <c r="K8" s="42">
        <f>($J8-$D8)/$D8</f>
        <v>-0.037189288193081774</v>
      </c>
    </row>
    <row r="9" spans="1:3" ht="12.75">
      <c r="A9" s="3"/>
      <c r="B9" s="3"/>
      <c r="C9" s="3"/>
    </row>
    <row r="10" spans="1:8" ht="12.75">
      <c r="A10" s="3"/>
      <c r="B10" s="3"/>
      <c r="C10" s="3"/>
      <c r="G10" t="s">
        <v>46</v>
      </c>
      <c r="H10" s="21"/>
    </row>
    <row r="11" spans="1:10" ht="12.75">
      <c r="A11" s="7"/>
      <c r="B11" s="8"/>
      <c r="C11" s="8" t="s">
        <v>31</v>
      </c>
      <c r="D11" s="8"/>
      <c r="E11" s="30" t="s">
        <v>31</v>
      </c>
      <c r="F11" s="8" t="s">
        <v>31</v>
      </c>
      <c r="G11" s="8" t="s">
        <v>30</v>
      </c>
      <c r="H11" s="30" t="s">
        <v>56</v>
      </c>
      <c r="I11" s="8" t="s">
        <v>48</v>
      </c>
      <c r="J11" s="8" t="s">
        <v>31</v>
      </c>
    </row>
    <row r="12" spans="1:10" ht="12.75">
      <c r="A12" s="7"/>
      <c r="B12" s="8" t="s">
        <v>24</v>
      </c>
      <c r="C12" s="26" t="s">
        <v>40</v>
      </c>
      <c r="D12" s="8"/>
      <c r="E12" s="30" t="s">
        <v>41</v>
      </c>
      <c r="F12" s="8" t="s">
        <v>32</v>
      </c>
      <c r="G12" s="8" t="s">
        <v>34</v>
      </c>
      <c r="H12" s="30" t="s">
        <v>57</v>
      </c>
      <c r="I12" s="8" t="s">
        <v>50</v>
      </c>
      <c r="J12" s="8" t="s">
        <v>86</v>
      </c>
    </row>
    <row r="13" spans="1:10" ht="14.25">
      <c r="A13" s="8" t="s">
        <v>29</v>
      </c>
      <c r="B13" s="8" t="s">
        <v>23</v>
      </c>
      <c r="C13" s="8" t="s">
        <v>27</v>
      </c>
      <c r="D13" s="8"/>
      <c r="E13" s="30" t="s">
        <v>28</v>
      </c>
      <c r="F13" s="8" t="s">
        <v>28</v>
      </c>
      <c r="G13" s="8" t="s">
        <v>28</v>
      </c>
      <c r="H13" s="30"/>
      <c r="I13" s="8" t="s">
        <v>49</v>
      </c>
      <c r="J13" s="8" t="s">
        <v>87</v>
      </c>
    </row>
    <row r="14" spans="4:8" ht="12.75">
      <c r="D14" s="5"/>
      <c r="E14" s="5"/>
      <c r="F14" s="5"/>
      <c r="G14" s="1"/>
      <c r="H14" s="5"/>
    </row>
    <row r="15" spans="1:10" ht="12.75">
      <c r="A15" s="2" t="s">
        <v>0</v>
      </c>
      <c r="B15" s="83">
        <v>3</v>
      </c>
      <c r="C15" s="3"/>
      <c r="D15" s="5"/>
      <c r="E15" s="5"/>
      <c r="F15" s="5">
        <f>$E$16/$B$18*B15</f>
        <v>8158.9294388502385</v>
      </c>
      <c r="G15" s="5">
        <f>'a conto bofæller'!E6</f>
        <v>8702</v>
      </c>
      <c r="H15" s="5">
        <f>F15-G15</f>
        <v>-543.0705611497615</v>
      </c>
      <c r="I15" s="5">
        <f>(F15)/6*(1+K$8)</f>
        <v>1309.2507767669697</v>
      </c>
      <c r="J15" s="5"/>
    </row>
    <row r="16" spans="1:10" ht="12.75">
      <c r="A16" s="2" t="s">
        <v>1</v>
      </c>
      <c r="B16" s="83">
        <v>1</v>
      </c>
      <c r="C16" s="35">
        <f>Aflæsninger!E12</f>
        <v>323</v>
      </c>
      <c r="D16" s="5"/>
      <c r="E16" s="5">
        <f>(C16*$D$8)</f>
        <v>21757.145170267304</v>
      </c>
      <c r="F16" s="5">
        <f>$E$16/$B$18*B16</f>
        <v>2719.643146283413</v>
      </c>
      <c r="G16" s="5">
        <f>'a conto bofæller'!E7</f>
        <v>2902</v>
      </c>
      <c r="H16" s="5">
        <f>F16-G16</f>
        <v>-182.356853716587</v>
      </c>
      <c r="I16" s="5">
        <f aca="true" t="shared" si="0" ref="I16:I50">(F16)/6*(1+K$8)</f>
        <v>436.4169255889899</v>
      </c>
      <c r="J16" s="5">
        <f>C16/B18</f>
        <v>40.375</v>
      </c>
    </row>
    <row r="17" spans="1:10" ht="12.75">
      <c r="A17" s="2" t="s">
        <v>2</v>
      </c>
      <c r="B17" s="84">
        <v>4</v>
      </c>
      <c r="C17" s="3"/>
      <c r="D17" s="5"/>
      <c r="E17" s="5"/>
      <c r="F17" s="5">
        <f>$E$16/$B$18*B17</f>
        <v>10878.572585133652</v>
      </c>
      <c r="G17" s="16">
        <f>'a conto bofæller'!E8</f>
        <v>12706</v>
      </c>
      <c r="H17" s="16">
        <f>F17-G17</f>
        <v>-1827.427414866348</v>
      </c>
      <c r="I17" s="16">
        <f t="shared" si="0"/>
        <v>1745.6677023559596</v>
      </c>
      <c r="J17" s="16"/>
    </row>
    <row r="18" spans="1:10" ht="12.75">
      <c r="A18" s="9" t="s">
        <v>35</v>
      </c>
      <c r="B18" s="25">
        <f>SUM(B15:B17)</f>
        <v>8</v>
      </c>
      <c r="C18" s="10"/>
      <c r="D18" s="11"/>
      <c r="E18" s="11"/>
      <c r="F18" s="11"/>
      <c r="G18" s="5" t="s">
        <v>3</v>
      </c>
      <c r="H18" s="5"/>
      <c r="I18" s="5"/>
      <c r="J18" s="5"/>
    </row>
    <row r="19" spans="1:10" ht="12.75">
      <c r="A19" s="12" t="s">
        <v>4</v>
      </c>
      <c r="B19" s="83">
        <v>2</v>
      </c>
      <c r="C19" s="46"/>
      <c r="D19" s="14"/>
      <c r="E19" s="14"/>
      <c r="F19" s="5">
        <f>$E$20/$B$22*B19</f>
        <v>4802.6771862945425</v>
      </c>
      <c r="G19" s="5">
        <f>'a conto bofæller'!E9</f>
        <v>3952</v>
      </c>
      <c r="H19" s="5">
        <f>F19-G19</f>
        <v>850.6771862945425</v>
      </c>
      <c r="I19" s="5">
        <f t="shared" si="0"/>
        <v>770.6781733858493</v>
      </c>
      <c r="J19" s="5"/>
    </row>
    <row r="20" spans="1:10" ht="12.75">
      <c r="A20" s="12" t="s">
        <v>5</v>
      </c>
      <c r="B20" s="83">
        <v>2</v>
      </c>
      <c r="C20" s="68">
        <f>Aflæsninger!E13</f>
        <v>236</v>
      </c>
      <c r="D20" s="5"/>
      <c r="E20" s="14">
        <f>C20*$D$8</f>
        <v>15896.861486634934</v>
      </c>
      <c r="F20" s="5">
        <f>$E$20/$B$22*B20</f>
        <v>4802.6771862945425</v>
      </c>
      <c r="G20" s="5">
        <f>'a conto bofæller'!E10</f>
        <v>2932</v>
      </c>
      <c r="H20" s="5">
        <f>F20-G20</f>
        <v>1870.6771862945425</v>
      </c>
      <c r="I20" s="5">
        <f t="shared" si="0"/>
        <v>770.6781733858493</v>
      </c>
      <c r="J20" s="5">
        <f>C20/B22</f>
        <v>35.64954682779456</v>
      </c>
    </row>
    <row r="21" spans="1:10" ht="12.75">
      <c r="A21" s="15" t="s">
        <v>6</v>
      </c>
      <c r="B21" s="84">
        <v>2.62</v>
      </c>
      <c r="C21" s="45"/>
      <c r="D21" s="16"/>
      <c r="E21" s="16"/>
      <c r="F21" s="16">
        <f>$E$20/$B$22*B21</f>
        <v>6291.507114045851</v>
      </c>
      <c r="G21" s="16">
        <f>'a conto bofæller'!E11</f>
        <v>4624</v>
      </c>
      <c r="H21" s="16">
        <f>F21-G21</f>
        <v>1667.5071140458513</v>
      </c>
      <c r="I21" s="16">
        <f t="shared" si="0"/>
        <v>1009.5884071354626</v>
      </c>
      <c r="J21" s="16"/>
    </row>
    <row r="22" spans="1:10" ht="12.75">
      <c r="A22" s="2" t="s">
        <v>35</v>
      </c>
      <c r="B22" s="25">
        <f>SUM(B19:B21)</f>
        <v>6.62</v>
      </c>
      <c r="C22" s="4"/>
      <c r="D22" s="5"/>
      <c r="E22" s="5"/>
      <c r="F22" s="5"/>
      <c r="G22" s="5"/>
      <c r="H22" s="5"/>
      <c r="I22" s="5"/>
      <c r="J22" s="5"/>
    </row>
    <row r="23" spans="1:10" ht="12.75">
      <c r="A23" s="2" t="s">
        <v>7</v>
      </c>
      <c r="B23" s="83">
        <v>2</v>
      </c>
      <c r="C23" s="35">
        <f>Aflæsninger!E14</f>
        <v>140</v>
      </c>
      <c r="D23" s="5"/>
      <c r="E23" s="5">
        <f>C23*$D$8</f>
        <v>9430.34155986818</v>
      </c>
      <c r="F23" s="5">
        <f>$E$23/$B$25*B23</f>
        <v>3143.447186622727</v>
      </c>
      <c r="G23" s="5">
        <f>'a conto bofæller'!E12</f>
        <v>3660</v>
      </c>
      <c r="H23" s="5">
        <f>F23-G23</f>
        <v>-516.5528133772732</v>
      </c>
      <c r="I23" s="5">
        <f t="shared" si="0"/>
        <v>504.42410387994704</v>
      </c>
      <c r="J23" s="5">
        <f>C23/B25</f>
        <v>23.333333333333332</v>
      </c>
    </row>
    <row r="24" spans="1:10" ht="12.75">
      <c r="A24" s="2" t="s">
        <v>8</v>
      </c>
      <c r="B24" s="84">
        <v>4</v>
      </c>
      <c r="C24" s="35"/>
      <c r="D24" s="5"/>
      <c r="E24" s="5"/>
      <c r="F24" s="5">
        <f>$E$23/$B$25*B24</f>
        <v>6286.894373245454</v>
      </c>
      <c r="G24" s="16">
        <f>'a conto bofæller'!E11</f>
        <v>4624</v>
      </c>
      <c r="H24" s="16">
        <f>F24-G24</f>
        <v>1662.8943732454536</v>
      </c>
      <c r="I24" s="16">
        <f t="shared" si="0"/>
        <v>1008.8482077598941</v>
      </c>
      <c r="J24" s="16"/>
    </row>
    <row r="25" spans="1:10" ht="12.75">
      <c r="A25" s="9" t="s">
        <v>35</v>
      </c>
      <c r="B25" s="25">
        <f>SUM(B23:B24)</f>
        <v>6</v>
      </c>
      <c r="C25" s="70"/>
      <c r="D25" s="11"/>
      <c r="E25" s="11"/>
      <c r="F25" s="11"/>
      <c r="G25" s="5"/>
      <c r="H25" s="5"/>
      <c r="I25" s="5"/>
      <c r="J25" s="5"/>
    </row>
    <row r="26" spans="1:10" ht="12.75">
      <c r="A26" s="12" t="s">
        <v>9</v>
      </c>
      <c r="B26" s="83">
        <v>4</v>
      </c>
      <c r="C26" s="68"/>
      <c r="D26" s="14"/>
      <c r="E26" s="14"/>
      <c r="F26" s="5">
        <f>$E$27/$B$29*B26</f>
        <v>8113.08750071199</v>
      </c>
      <c r="G26" s="5">
        <f>'a conto bofæller'!E14</f>
        <v>7575</v>
      </c>
      <c r="H26" s="5">
        <f>F26-G26</f>
        <v>538.0875007119903</v>
      </c>
      <c r="I26" s="5">
        <f t="shared" si="0"/>
        <v>1301.8945919187204</v>
      </c>
      <c r="J26" s="5"/>
    </row>
    <row r="27" spans="1:10" ht="12.75">
      <c r="A27" s="12" t="s">
        <v>10</v>
      </c>
      <c r="B27" s="83">
        <v>3</v>
      </c>
      <c r="C27" s="68">
        <f>Aflæsninger!E15</f>
        <v>271</v>
      </c>
      <c r="D27" s="5"/>
      <c r="E27" s="14">
        <f>C27*$D$8</f>
        <v>18254.446876601978</v>
      </c>
      <c r="F27" s="5">
        <f>$E$27/$B$29*B27</f>
        <v>6084.815625533993</v>
      </c>
      <c r="G27" s="5">
        <f>'a conto bofæller'!E15</f>
        <v>5683</v>
      </c>
      <c r="H27" s="5">
        <f>F27-G27</f>
        <v>401.8156255339927</v>
      </c>
      <c r="I27" s="5">
        <f t="shared" si="0"/>
        <v>976.4209439390403</v>
      </c>
      <c r="J27" s="5">
        <f>C27/B29</f>
        <v>30.11111111111111</v>
      </c>
    </row>
    <row r="28" spans="1:10" ht="12.75">
      <c r="A28" s="15" t="s">
        <v>11</v>
      </c>
      <c r="B28" s="84">
        <v>2</v>
      </c>
      <c r="C28" s="71"/>
      <c r="D28" s="16"/>
      <c r="E28" s="16"/>
      <c r="F28" s="16">
        <f>$E$27/$B$29*B28</f>
        <v>4056.543750355995</v>
      </c>
      <c r="G28" s="16">
        <f>'a conto bofæller'!E16</f>
        <v>5112</v>
      </c>
      <c r="H28" s="16">
        <f>F28-G28</f>
        <v>-1055.4562496440049</v>
      </c>
      <c r="I28" s="16">
        <f t="shared" si="0"/>
        <v>650.9472959593602</v>
      </c>
      <c r="J28" s="16"/>
    </row>
    <row r="29" spans="1:10" ht="12.75">
      <c r="A29" s="2" t="s">
        <v>35</v>
      </c>
      <c r="B29" s="4">
        <f>SUM(B26:B28)</f>
        <v>9</v>
      </c>
      <c r="C29" s="48"/>
      <c r="D29" s="5"/>
      <c r="E29" s="5"/>
      <c r="F29" s="5"/>
      <c r="G29" s="5"/>
      <c r="H29" s="5"/>
      <c r="I29" s="5"/>
      <c r="J29" s="5"/>
    </row>
    <row r="30" spans="1:10" ht="12.75">
      <c r="A30" s="2">
        <v>12</v>
      </c>
      <c r="B30" s="83">
        <v>4</v>
      </c>
      <c r="C30" s="35"/>
      <c r="D30" s="5"/>
      <c r="E30" s="5"/>
      <c r="F30" s="5">
        <f>$E$31/$B$33*B30</f>
        <v>8774.216519268048</v>
      </c>
      <c r="G30" s="5">
        <f>'a conto bofæller'!E17</f>
        <v>10119</v>
      </c>
      <c r="H30" s="5">
        <f aca="true" t="shared" si="1" ref="H30:H36">F30-G30</f>
        <v>-1344.7834807319523</v>
      </c>
      <c r="I30" s="5">
        <f t="shared" si="0"/>
        <v>1407.9849420774149</v>
      </c>
      <c r="J30" s="5"/>
    </row>
    <row r="31" spans="1:10" ht="12.75">
      <c r="A31" s="2">
        <v>13</v>
      </c>
      <c r="B31" s="83">
        <v>2</v>
      </c>
      <c r="C31" s="35">
        <f>Aflæsninger!E16</f>
        <v>339</v>
      </c>
      <c r="D31" s="5"/>
      <c r="E31" s="5">
        <f>C31*$D$8</f>
        <v>22834.898491395095</v>
      </c>
      <c r="F31" s="5">
        <f>$E$31/$B$33*B31</f>
        <v>4387.108259634024</v>
      </c>
      <c r="G31" s="5">
        <f>'a conto bofæller'!E18</f>
        <v>5192</v>
      </c>
      <c r="H31" s="5">
        <f t="shared" si="1"/>
        <v>-804.8917403659761</v>
      </c>
      <c r="I31" s="5">
        <f t="shared" si="0"/>
        <v>703.9924710387074</v>
      </c>
      <c r="J31" s="5">
        <f>C31/B33</f>
        <v>32.564841498559076</v>
      </c>
    </row>
    <row r="32" spans="1:10" ht="12.75">
      <c r="A32" s="2">
        <v>14</v>
      </c>
      <c r="B32" s="84">
        <v>4.41</v>
      </c>
      <c r="C32" s="35"/>
      <c r="D32" s="5"/>
      <c r="E32" s="5"/>
      <c r="F32" s="5">
        <f>$E$31/$B$33*B32</f>
        <v>9673.573712493024</v>
      </c>
      <c r="G32" s="16">
        <f>'a conto bofæller'!E19</f>
        <v>12647</v>
      </c>
      <c r="H32" s="16">
        <f t="shared" si="1"/>
        <v>-2973.426287506976</v>
      </c>
      <c r="I32" s="16">
        <f t="shared" si="0"/>
        <v>1552.3033986403502</v>
      </c>
      <c r="J32" s="16"/>
    </row>
    <row r="33" spans="1:10" ht="12.75">
      <c r="A33" s="9" t="s">
        <v>35</v>
      </c>
      <c r="B33" s="25">
        <f>SUM(B30:B32)</f>
        <v>10.41</v>
      </c>
      <c r="C33" s="70"/>
      <c r="D33" s="11"/>
      <c r="E33" s="11"/>
      <c r="F33" s="11"/>
      <c r="G33" s="5"/>
      <c r="H33" s="5"/>
      <c r="I33" s="5"/>
      <c r="J33" s="5"/>
    </row>
    <row r="34" spans="1:10" ht="12.75">
      <c r="A34" s="12" t="s">
        <v>12</v>
      </c>
      <c r="B34" s="83">
        <v>2</v>
      </c>
      <c r="C34" s="68"/>
      <c r="D34" s="14"/>
      <c r="E34" s="14"/>
      <c r="F34" s="5">
        <f>$E$35/$B$37*B34</f>
        <v>5209.141052117661</v>
      </c>
      <c r="G34" s="5">
        <f>'a conto bofæller'!E20</f>
        <v>5962</v>
      </c>
      <c r="H34" s="5">
        <f t="shared" si="1"/>
        <v>-752.8589478823387</v>
      </c>
      <c r="I34" s="5">
        <f t="shared" si="0"/>
        <v>835.9028007153407</v>
      </c>
      <c r="J34" s="5"/>
    </row>
    <row r="35" spans="1:10" ht="12.75">
      <c r="A35" s="12" t="s">
        <v>22</v>
      </c>
      <c r="B35" s="83">
        <v>2</v>
      </c>
      <c r="C35" s="68">
        <f>Aflæsninger!E17</f>
        <v>232</v>
      </c>
      <c r="D35" s="5"/>
      <c r="E35" s="14">
        <f>C35*$D$8</f>
        <v>15627.423156352985</v>
      </c>
      <c r="F35" s="5">
        <f>$E$35/$B$37*B35</f>
        <v>5209.141052117661</v>
      </c>
      <c r="G35" s="5">
        <f>'a conto bofæller'!E21</f>
        <v>5962</v>
      </c>
      <c r="H35" s="5">
        <f t="shared" si="1"/>
        <v>-752.8589478823387</v>
      </c>
      <c r="I35" s="5">
        <f t="shared" si="0"/>
        <v>835.9028007153407</v>
      </c>
      <c r="J35" s="5">
        <f>C35/B37</f>
        <v>38.666666666666664</v>
      </c>
    </row>
    <row r="36" spans="1:10" ht="12.75">
      <c r="A36" s="15" t="s">
        <v>13</v>
      </c>
      <c r="B36" s="84">
        <v>2</v>
      </c>
      <c r="C36" s="71"/>
      <c r="D36" s="16"/>
      <c r="E36" s="16"/>
      <c r="F36" s="5">
        <f>$E$35/$B$37*B36</f>
        <v>5209.141052117661</v>
      </c>
      <c r="G36" s="16">
        <f>'a conto bofæller'!E22</f>
        <v>5962</v>
      </c>
      <c r="H36" s="16">
        <f t="shared" si="1"/>
        <v>-752.8589478823387</v>
      </c>
      <c r="I36" s="16">
        <f t="shared" si="0"/>
        <v>835.9028007153407</v>
      </c>
      <c r="J36" s="16"/>
    </row>
    <row r="37" spans="1:10" ht="12.75">
      <c r="A37" s="2" t="s">
        <v>35</v>
      </c>
      <c r="B37" s="25">
        <f>SUM(B34:B36)</f>
        <v>6</v>
      </c>
      <c r="C37" s="48"/>
      <c r="D37" s="5"/>
      <c r="E37" s="5"/>
      <c r="F37" s="11"/>
      <c r="G37" s="5"/>
      <c r="H37" s="5"/>
      <c r="I37" s="5"/>
      <c r="J37" s="5"/>
    </row>
    <row r="38" spans="1:10" ht="12.75">
      <c r="A38" s="2" t="s">
        <v>14</v>
      </c>
      <c r="B38" s="83">
        <v>2.5</v>
      </c>
      <c r="C38" s="35"/>
      <c r="D38" s="5"/>
      <c r="E38" s="5"/>
      <c r="F38" s="5">
        <f>$E$39/$B$41*B38</f>
        <v>5647.905813555015</v>
      </c>
      <c r="G38" s="5">
        <f>'a conto bofæller'!E23</f>
        <v>5225</v>
      </c>
      <c r="H38" s="5">
        <f>F38-G38</f>
        <v>422.9058135550149</v>
      </c>
      <c r="I38" s="5">
        <f t="shared" si="0"/>
        <v>906.3107027612226</v>
      </c>
      <c r="J38" s="5"/>
    </row>
    <row r="39" spans="1:10" ht="12.75">
      <c r="A39" s="2" t="s">
        <v>15</v>
      </c>
      <c r="B39" s="83">
        <v>2</v>
      </c>
      <c r="C39" s="35">
        <f>Aflæsninger!E18</f>
        <v>272</v>
      </c>
      <c r="D39" s="5"/>
      <c r="E39" s="5">
        <f>C39*$D$8</f>
        <v>18321.806459172465</v>
      </c>
      <c r="F39" s="5">
        <f>$E$39/$B$41*B39</f>
        <v>4518.324650844012</v>
      </c>
      <c r="G39" s="5">
        <f>'a conto bofæller'!E24</f>
        <v>4427</v>
      </c>
      <c r="H39" s="5">
        <f>F39-G39</f>
        <v>91.32465084401156</v>
      </c>
      <c r="I39" s="5">
        <f t="shared" si="0"/>
        <v>725.0485622089781</v>
      </c>
      <c r="J39" s="5">
        <f>C39/B41</f>
        <v>33.53884093711468</v>
      </c>
    </row>
    <row r="40" spans="1:10" ht="12.75">
      <c r="A40" s="2" t="s">
        <v>16</v>
      </c>
      <c r="B40" s="83">
        <v>3.61</v>
      </c>
      <c r="C40" s="35"/>
      <c r="D40" s="5"/>
      <c r="E40" s="5"/>
      <c r="F40" s="5">
        <f>$E$39/$B$41*B40</f>
        <v>8155.5759947734405</v>
      </c>
      <c r="G40" s="16">
        <f>'a conto bofæller'!E25</f>
        <v>8854</v>
      </c>
      <c r="H40" s="16">
        <f>F40-G40</f>
        <v>-698.4240052265595</v>
      </c>
      <c r="I40" s="16">
        <f t="shared" si="0"/>
        <v>1308.7126547872053</v>
      </c>
      <c r="J40" s="16"/>
    </row>
    <row r="41" spans="1:10" ht="12.75">
      <c r="A41" s="9" t="s">
        <v>35</v>
      </c>
      <c r="B41" s="23">
        <f>SUM(B38:B40)</f>
        <v>8.11</v>
      </c>
      <c r="C41" s="70"/>
      <c r="D41" s="11"/>
      <c r="E41" s="11"/>
      <c r="F41" s="11"/>
      <c r="G41" s="5"/>
      <c r="H41" s="5"/>
      <c r="I41" s="5"/>
      <c r="J41" s="5"/>
    </row>
    <row r="42" spans="1:10" ht="12.75">
      <c r="A42" s="12" t="s">
        <v>17</v>
      </c>
      <c r="B42" s="83">
        <v>4</v>
      </c>
      <c r="C42" s="68"/>
      <c r="D42" s="14"/>
      <c r="E42" s="14"/>
      <c r="F42" s="5">
        <f>$E$43/$B$45*B42</f>
        <v>7235.799682483409</v>
      </c>
      <c r="G42" s="5">
        <f>'a conto bofæller'!E26</f>
        <v>5966</v>
      </c>
      <c r="H42" s="5">
        <f>F42-G42</f>
        <v>1269.799682483409</v>
      </c>
      <c r="I42" s="5">
        <f t="shared" si="0"/>
        <v>1161.117573797354</v>
      </c>
      <c r="J42" s="5"/>
    </row>
    <row r="43" spans="1:10" ht="12.75">
      <c r="A43" s="12" t="s">
        <v>18</v>
      </c>
      <c r="B43" s="83">
        <v>2</v>
      </c>
      <c r="C43" s="68">
        <f>Aflæsninger!E19</f>
        <v>228</v>
      </c>
      <c r="D43" s="5"/>
      <c r="E43" s="14">
        <f>C43*$D$8</f>
        <v>15357.984826071037</v>
      </c>
      <c r="F43" s="5">
        <f>$E$43/$B$45*B43</f>
        <v>3617.8998412417045</v>
      </c>
      <c r="G43" s="5">
        <f>'a conto bofæller'!E27</f>
        <v>2986</v>
      </c>
      <c r="H43" s="5">
        <f>F43-G43</f>
        <v>631.8998412417045</v>
      </c>
      <c r="I43" s="5">
        <f t="shared" si="0"/>
        <v>580.558786898677</v>
      </c>
      <c r="J43" s="5">
        <f>C43/B45</f>
        <v>26.85512367491166</v>
      </c>
    </row>
    <row r="44" spans="1:10" ht="12.75">
      <c r="A44" s="15" t="s">
        <v>19</v>
      </c>
      <c r="B44" s="84">
        <v>2.49</v>
      </c>
      <c r="C44" s="71"/>
      <c r="D44" s="16"/>
      <c r="E44" s="16"/>
      <c r="F44" s="16">
        <f>$E$43/$B$45*B44</f>
        <v>4504.285302345923</v>
      </c>
      <c r="G44" s="16">
        <f>'a conto bofæller'!E28</f>
        <v>3461</v>
      </c>
      <c r="H44" s="16">
        <f>F44-G44</f>
        <v>1043.285302345923</v>
      </c>
      <c r="I44" s="16">
        <f t="shared" si="0"/>
        <v>722.795689688853</v>
      </c>
      <c r="J44" s="16"/>
    </row>
    <row r="45" spans="1:10" ht="12.75">
      <c r="A45" s="2" t="s">
        <v>35</v>
      </c>
      <c r="B45" s="4">
        <f>SUM(B42:B44)</f>
        <v>8.49</v>
      </c>
      <c r="C45" s="48"/>
      <c r="D45" s="5"/>
      <c r="E45" s="5" t="s">
        <v>3</v>
      </c>
      <c r="F45" s="5"/>
      <c r="G45" s="5"/>
      <c r="H45" s="5"/>
      <c r="I45" s="5"/>
      <c r="J45" s="5"/>
    </row>
    <row r="46" spans="1:11" ht="12.75">
      <c r="A46" s="2" t="s">
        <v>20</v>
      </c>
      <c r="B46" s="83">
        <v>1</v>
      </c>
      <c r="C46" s="35">
        <f>Aflæsninger!E20</f>
        <v>31</v>
      </c>
      <c r="D46" s="5"/>
      <c r="E46" s="5"/>
      <c r="F46" s="5">
        <f>($C46+D$49*B46/B$48)*$D$8</f>
        <v>2973.9255704870016</v>
      </c>
      <c r="G46" s="5">
        <f>'a conto bofæller'!E29</f>
        <v>2896</v>
      </c>
      <c r="H46" s="5">
        <f>F46-G46</f>
        <v>77.92557048700155</v>
      </c>
      <c r="I46" s="5">
        <f t="shared" si="0"/>
        <v>477.22123256356423</v>
      </c>
      <c r="J46" s="5">
        <f>C46/B46</f>
        <v>31</v>
      </c>
      <c r="K46" t="s">
        <v>58</v>
      </c>
    </row>
    <row r="47" spans="1:11" ht="12.75">
      <c r="A47" s="15" t="s">
        <v>21</v>
      </c>
      <c r="B47" s="84">
        <v>1</v>
      </c>
      <c r="C47" s="71">
        <f>Aflæsninger!E21</f>
        <v>21</v>
      </c>
      <c r="D47" s="16"/>
      <c r="E47" s="16"/>
      <c r="F47" s="16">
        <f>($C47+D$49*B47/B$48)*$D$8</f>
        <v>2300.3297447821315</v>
      </c>
      <c r="G47" s="16">
        <f>'a conto bofæller'!E30</f>
        <v>2643</v>
      </c>
      <c r="H47" s="16">
        <f>F47-G47</f>
        <v>-342.67025521786854</v>
      </c>
      <c r="I47" s="16">
        <f t="shared" si="0"/>
        <v>369.1303531607184</v>
      </c>
      <c r="J47" s="16">
        <f>C47/B47</f>
        <v>21</v>
      </c>
      <c r="K47" t="s">
        <v>58</v>
      </c>
    </row>
    <row r="48" spans="1:10" ht="12.75">
      <c r="A48" s="2" t="s">
        <v>35</v>
      </c>
      <c r="B48" s="48">
        <f>SUM(B46:B47)</f>
        <v>2</v>
      </c>
      <c r="C48" s="34"/>
      <c r="D48" s="5"/>
      <c r="E48" s="5"/>
      <c r="F48" s="5"/>
      <c r="G48" s="5"/>
      <c r="H48" s="5"/>
      <c r="I48" s="5"/>
      <c r="J48" s="5"/>
    </row>
    <row r="49" spans="1:11" ht="12.75">
      <c r="A49" s="2" t="s">
        <v>25</v>
      </c>
      <c r="B49" s="83">
        <v>1.66</v>
      </c>
      <c r="C49" s="35">
        <f>Aflæsninger!E26</f>
        <v>189</v>
      </c>
      <c r="D49" s="33">
        <f>Aflæsninger!E27</f>
        <v>26.30000000000001</v>
      </c>
      <c r="E49" s="5">
        <f>(C49-D49)*D8</f>
        <v>10959.404084218235</v>
      </c>
      <c r="F49" s="5">
        <f>$E$49/$B$51*B49</f>
        <v>3214.242187244217</v>
      </c>
      <c r="G49" s="5">
        <f>'a conto bofæller'!E31</f>
        <v>3537</v>
      </c>
      <c r="H49" s="5">
        <f>F49-G49</f>
        <v>-322.7578127557831</v>
      </c>
      <c r="I49" s="5">
        <f t="shared" si="0"/>
        <v>515.7844680367384</v>
      </c>
      <c r="J49" s="5">
        <f>C49/B51</f>
        <v>33.39222614840989</v>
      </c>
      <c r="K49" t="s">
        <v>59</v>
      </c>
    </row>
    <row r="50" spans="1:10" ht="12.75">
      <c r="A50" s="2" t="s">
        <v>26</v>
      </c>
      <c r="B50" s="83">
        <v>4</v>
      </c>
      <c r="C50" s="35"/>
      <c r="D50" s="5"/>
      <c r="E50" s="5"/>
      <c r="F50" s="5">
        <f>$E$49/$B$51*B50</f>
        <v>7745.1618969740175</v>
      </c>
      <c r="G50" s="5">
        <f>'a conto bofæller'!E32</f>
        <v>6874</v>
      </c>
      <c r="H50" s="16">
        <f>F50-G50</f>
        <v>871.1618969740175</v>
      </c>
      <c r="I50" s="16">
        <f t="shared" si="0"/>
        <v>1242.8541398475625</v>
      </c>
      <c r="J50" s="16"/>
    </row>
    <row r="51" spans="1:10" ht="12.75">
      <c r="A51" s="17" t="s">
        <v>35</v>
      </c>
      <c r="B51" s="24">
        <f>SUM(B49:B50)</f>
        <v>5.66</v>
      </c>
      <c r="C51" s="10"/>
      <c r="D51" s="11"/>
      <c r="E51" s="11"/>
      <c r="F51" s="11"/>
      <c r="G51" s="11"/>
      <c r="H51" s="5"/>
      <c r="I51" s="14"/>
      <c r="J51" s="14"/>
    </row>
    <row r="52" spans="1:11" ht="12.75">
      <c r="A52" s="13"/>
      <c r="B52" s="40"/>
      <c r="C52" s="41"/>
      <c r="D52" s="14"/>
      <c r="E52" s="14"/>
      <c r="F52" s="14"/>
      <c r="G52" s="14"/>
      <c r="H52" s="14"/>
      <c r="I52" s="14"/>
      <c r="J52" s="14"/>
      <c r="K52" s="20"/>
    </row>
    <row r="53" spans="1:11" ht="12.75">
      <c r="A53" s="22" t="s">
        <v>38</v>
      </c>
      <c r="B53" s="22"/>
      <c r="C53" s="32">
        <f>SUM(C14:C50)</f>
        <v>2282</v>
      </c>
      <c r="D53" s="5" t="s">
        <v>36</v>
      </c>
      <c r="E53" s="5">
        <f>SUM(F14:F50)</f>
        <v>153714.56742585133</v>
      </c>
      <c r="F53" t="s">
        <v>37</v>
      </c>
      <c r="G53" s="5">
        <f>SUM(G14:G50)</f>
        <v>155185</v>
      </c>
      <c r="H53" s="21">
        <f>SUM(H14:H50)</f>
        <v>-1470.4325741486523</v>
      </c>
      <c r="I53" s="95"/>
      <c r="K53" s="20"/>
    </row>
    <row r="54" spans="1:10" ht="12.75">
      <c r="A54" s="114" t="s">
        <v>39</v>
      </c>
      <c r="B54" s="114"/>
      <c r="C54" s="69">
        <f>Aflæsninger!E23</f>
        <v>493</v>
      </c>
      <c r="D54" s="5" t="s">
        <v>36</v>
      </c>
      <c r="E54" s="5">
        <f>C54*$D$8</f>
        <v>33208.27420725009</v>
      </c>
      <c r="F54" s="27" t="s">
        <v>37</v>
      </c>
      <c r="G54" s="5"/>
      <c r="H54" s="5"/>
      <c r="I54" s="32"/>
      <c r="J54" s="5"/>
    </row>
    <row r="55" spans="1:11" ht="12.75">
      <c r="A55" s="22" t="s">
        <v>44</v>
      </c>
      <c r="B55" s="22"/>
      <c r="C55" s="32">
        <f>C53+C54</f>
        <v>2775</v>
      </c>
      <c r="D55" s="5" t="s">
        <v>36</v>
      </c>
      <c r="E55" s="5">
        <f>E53+E54</f>
        <v>186922.84163310143</v>
      </c>
      <c r="F55" s="27" t="s">
        <v>37</v>
      </c>
      <c r="G55" s="5"/>
      <c r="H55" s="38"/>
      <c r="I55" s="32"/>
      <c r="J55" s="38"/>
      <c r="K55" s="38"/>
    </row>
    <row r="56" spans="1:10" ht="12.75">
      <c r="A56" s="29" t="s">
        <v>55</v>
      </c>
      <c r="B56" s="1"/>
      <c r="C56" s="32">
        <f>D4-C55</f>
        <v>-44</v>
      </c>
      <c r="D56" s="5" t="s">
        <v>36</v>
      </c>
      <c r="E56" s="5">
        <f>D6-E55</f>
        <v>-2963.821633101412</v>
      </c>
      <c r="F56" s="27" t="s">
        <v>37</v>
      </c>
      <c r="G56" s="5"/>
      <c r="H56" s="5"/>
      <c r="I56" s="32"/>
      <c r="J56" s="5"/>
    </row>
    <row r="57" spans="1:9" s="37" customFormat="1" ht="12.75">
      <c r="A57" s="37" t="s">
        <v>45</v>
      </c>
      <c r="C57" s="38">
        <f>C55+C56</f>
        <v>2731</v>
      </c>
      <c r="D57" s="38" t="s">
        <v>36</v>
      </c>
      <c r="E57" s="38">
        <f>E55+E56</f>
        <v>183959.02000000002</v>
      </c>
      <c r="F57" s="39" t="s">
        <v>37</v>
      </c>
      <c r="I57" s="32"/>
    </row>
    <row r="58" spans="1:10" ht="12.75">
      <c r="A58" s="2"/>
      <c r="B58" s="1"/>
      <c r="C58" s="1"/>
      <c r="D58" s="5"/>
      <c r="E58" s="5"/>
      <c r="F58" s="5"/>
      <c r="G58" s="5"/>
      <c r="H58" s="5"/>
      <c r="I58" s="5"/>
      <c r="J58" s="5"/>
    </row>
    <row r="59" ht="12.75">
      <c r="A59" t="s">
        <v>85</v>
      </c>
    </row>
    <row r="61" spans="1:9" ht="12.75">
      <c r="A61" s="122" t="s">
        <v>167</v>
      </c>
      <c r="B61" s="92"/>
      <c r="C61" s="123">
        <f>C56+C54</f>
        <v>449</v>
      </c>
      <c r="D61" s="71" t="s">
        <v>36</v>
      </c>
      <c r="E61" s="123">
        <f>E56+E54</f>
        <v>30244.45257414868</v>
      </c>
      <c r="F61" s="124" t="s">
        <v>37</v>
      </c>
      <c r="G61" s="5"/>
      <c r="H61" s="5"/>
      <c r="I61" s="91"/>
    </row>
    <row r="62" spans="1:11" ht="12.75">
      <c r="A62" s="20" t="s">
        <v>89</v>
      </c>
      <c r="B62" s="20"/>
      <c r="C62" s="120">
        <v>161</v>
      </c>
      <c r="D62" s="13" t="s">
        <v>36</v>
      </c>
      <c r="E62" s="14">
        <f>C62*D8</f>
        <v>10844.892793848408</v>
      </c>
      <c r="F62" s="20" t="s">
        <v>37</v>
      </c>
      <c r="G62" s="121">
        <v>10214</v>
      </c>
      <c r="H62" s="14">
        <f>E62-G62</f>
        <v>630.8927938484085</v>
      </c>
      <c r="K62" t="s">
        <v>143</v>
      </c>
    </row>
    <row r="63" spans="1:9" ht="12.75">
      <c r="A63" s="122" t="s">
        <v>90</v>
      </c>
      <c r="B63" s="92"/>
      <c r="C63" s="123">
        <f>C61-C62</f>
        <v>288</v>
      </c>
      <c r="D63" s="71" t="s">
        <v>36</v>
      </c>
      <c r="E63" s="123">
        <f>E61-E62</f>
        <v>19399.55978030027</v>
      </c>
      <c r="F63" s="124" t="s">
        <v>37</v>
      </c>
      <c r="G63" s="16">
        <f>'a conto fælleshuset'!G11</f>
        <v>18814</v>
      </c>
      <c r="H63" s="16">
        <f>E63-G63</f>
        <v>585.5597803002711</v>
      </c>
      <c r="I63" s="91"/>
    </row>
    <row r="64" spans="1:9" ht="13.5" thickBot="1">
      <c r="A64" s="125" t="s">
        <v>168</v>
      </c>
      <c r="H64" s="90">
        <f>SUM(H62:H63)</f>
        <v>1216.4525741486796</v>
      </c>
      <c r="I64" s="89">
        <f>(E63)/6*(1+K$8)</f>
        <v>3113.0173268019607</v>
      </c>
    </row>
    <row r="65" ht="13.5" thickTop="1"/>
    <row r="66" ht="12.75">
      <c r="A66" s="28"/>
    </row>
    <row r="67" spans="1:10" s="107" customFormat="1" ht="12.75">
      <c r="A67" s="107" t="s">
        <v>45</v>
      </c>
      <c r="E67" s="108"/>
      <c r="G67" s="108">
        <f>G53+G63+G62</f>
        <v>184213</v>
      </c>
      <c r="H67" s="108">
        <f>H53+H63+H62</f>
        <v>-253.97999999997273</v>
      </c>
      <c r="J67" s="108">
        <f>G67+H67</f>
        <v>183959.02000000002</v>
      </c>
    </row>
    <row r="71" ht="12.75">
      <c r="A71" t="s">
        <v>84</v>
      </c>
    </row>
  </sheetData>
  <sheetProtection password="F3CB" sheet="1"/>
  <protectedRanges>
    <protectedRange sqref="D6" name="Omr?de1_1_1"/>
    <protectedRange sqref="B46:C50" name="Omr?de11_1_1_1"/>
    <protectedRange sqref="B42:C44" name="Omr?de10_1_1_1"/>
    <protectedRange sqref="B38:C40" name="Omr?de9_1_1_1"/>
    <protectedRange sqref="B34:C36" name="Omr?de8_1_1_1"/>
    <protectedRange sqref="B30:C32" name="Omr?de7_1_1_1"/>
    <protectedRange sqref="B26:C28" name="Omr?de6_1_1_1"/>
    <protectedRange sqref="B15:C17" name="Omr?de3_1_1_1"/>
    <protectedRange sqref="B19:C21" name="Omr?de4_1_1_1"/>
    <protectedRange sqref="B23:C24" name="Omr?de5_1_1_1"/>
    <protectedRange sqref="A1" name="Omr?de12"/>
    <protectedRange sqref="J4:J6" name="Omr?de13_1"/>
  </protectedRanges>
  <mergeCells count="2">
    <mergeCell ref="A54:B54"/>
    <mergeCell ref="A7:B7"/>
  </mergeCells>
  <printOptions/>
  <pageMargins left="0.75" right="0.75" top="1" bottom="1" header="0.5" footer="0.5"/>
  <pageSetup fitToHeight="1" fitToWidth="1" horizontalDpi="300" verticalDpi="300" orientation="portrait" paperSize="9" scale="61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M39" sqref="M39"/>
    </sheetView>
  </sheetViews>
  <sheetFormatPr defaultColWidth="9.140625" defaultRowHeight="12.75"/>
  <cols>
    <col min="3" max="3" width="10.8515625" style="0" bestFit="1" customWidth="1"/>
    <col min="4" max="4" width="8.7109375" style="0" customWidth="1"/>
    <col min="5" max="5" width="20.00390625" style="21" customWidth="1"/>
    <col min="6" max="6" width="10.28125" style="0" customWidth="1"/>
    <col min="8" max="8" width="10.7109375" style="0" customWidth="1"/>
    <col min="10" max="10" width="10.8515625" style="0" bestFit="1" customWidth="1"/>
    <col min="11" max="11" width="8.57421875" style="0" customWidth="1"/>
  </cols>
  <sheetData>
    <row r="1" ht="18">
      <c r="A1" s="18" t="s">
        <v>157</v>
      </c>
    </row>
    <row r="2" spans="7:11" ht="12.75">
      <c r="G2" s="1" t="s">
        <v>53</v>
      </c>
      <c r="H2" s="1" t="s">
        <v>54</v>
      </c>
      <c r="J2" t="s">
        <v>88</v>
      </c>
      <c r="K2" s="1" t="s">
        <v>54</v>
      </c>
    </row>
    <row r="4" spans="1:11" ht="14.25">
      <c r="A4" s="36" t="s">
        <v>51</v>
      </c>
      <c r="B4" s="36"/>
      <c r="C4" s="19"/>
      <c r="D4" s="72">
        <f>'[1]Aflæsninger'!E8</f>
        <v>2731</v>
      </c>
      <c r="E4" s="21" t="s">
        <v>60</v>
      </c>
      <c r="G4" s="47">
        <v>2861</v>
      </c>
      <c r="H4" s="42">
        <f>($D4-$G4)/$G4</f>
        <v>-0.045438657811953866</v>
      </c>
      <c r="J4" s="47">
        <f>2*1468-75</f>
        <v>2861</v>
      </c>
      <c r="K4" s="42">
        <f>($J4-$D4)/$D4</f>
        <v>0.04760161113145368</v>
      </c>
    </row>
    <row r="5" spans="1:10" ht="12.75">
      <c r="A5" s="36"/>
      <c r="B5" s="36"/>
      <c r="C5" s="19"/>
      <c r="D5" s="6"/>
      <c r="G5" s="6"/>
      <c r="J5" s="6"/>
    </row>
    <row r="6" spans="1:11" ht="12.75">
      <c r="A6" s="36" t="s">
        <v>33</v>
      </c>
      <c r="B6" s="36"/>
      <c r="C6" s="19"/>
      <c r="D6" s="47">
        <f>56794.63+124632.31</f>
        <v>181426.94</v>
      </c>
      <c r="E6" s="31" t="s">
        <v>42</v>
      </c>
      <c r="G6" s="47">
        <v>181427</v>
      </c>
      <c r="H6" s="42">
        <f>($D6-$G6)/$G6</f>
        <v>-3.307115258350284E-07</v>
      </c>
      <c r="J6" s="47">
        <f>2*(60921.41+34755.51)</f>
        <v>191353.84000000003</v>
      </c>
      <c r="K6" s="42">
        <f>($J6-$D6)/$D6</f>
        <v>0.05471568886076138</v>
      </c>
    </row>
    <row r="7" spans="1:10" ht="12.75">
      <c r="A7" s="115"/>
      <c r="B7" s="115"/>
      <c r="C7" s="3"/>
      <c r="E7" s="5"/>
      <c r="I7" s="3"/>
      <c r="J7" s="3"/>
    </row>
    <row r="8" spans="1:11" ht="14.25">
      <c r="A8" s="36" t="s">
        <v>52</v>
      </c>
      <c r="B8" s="36"/>
      <c r="C8" s="19"/>
      <c r="D8" s="44">
        <f>D6/D4</f>
        <v>66.43242035884292</v>
      </c>
      <c r="E8" s="21" t="s">
        <v>43</v>
      </c>
      <c r="G8" s="44">
        <f>G6/G4</f>
        <v>63.41384131422579</v>
      </c>
      <c r="H8" s="42">
        <f>($D8-$G8)/$G8</f>
        <v>0.0476012646775265</v>
      </c>
      <c r="J8" s="44">
        <f>J6/J4</f>
        <v>66.88355120587208</v>
      </c>
      <c r="K8" s="42">
        <f>($J8-$D8)/$D8</f>
        <v>0.0067908235857179885</v>
      </c>
    </row>
    <row r="9" spans="1:3" ht="12.75">
      <c r="A9" s="3"/>
      <c r="B9" s="3"/>
      <c r="C9" s="3"/>
    </row>
    <row r="10" spans="1:8" ht="12.75">
      <c r="A10" s="3"/>
      <c r="B10" s="3"/>
      <c r="C10" s="3"/>
      <c r="G10" t="s">
        <v>46</v>
      </c>
      <c r="H10" s="21"/>
    </row>
    <row r="11" spans="1:10" ht="12.75">
      <c r="A11" s="7"/>
      <c r="B11" s="8"/>
      <c r="C11" s="8" t="s">
        <v>31</v>
      </c>
      <c r="D11" s="8"/>
      <c r="E11" s="30" t="s">
        <v>31</v>
      </c>
      <c r="F11" s="8" t="s">
        <v>31</v>
      </c>
      <c r="G11" s="8" t="s">
        <v>30</v>
      </c>
      <c r="H11" s="30" t="s">
        <v>56</v>
      </c>
      <c r="I11" s="8" t="s">
        <v>48</v>
      </c>
      <c r="J11" s="8" t="s">
        <v>31</v>
      </c>
    </row>
    <row r="12" spans="1:10" ht="12.75">
      <c r="A12" s="7"/>
      <c r="B12" s="8" t="s">
        <v>24</v>
      </c>
      <c r="C12" s="26" t="s">
        <v>40</v>
      </c>
      <c r="D12" s="8"/>
      <c r="E12" s="30" t="s">
        <v>41</v>
      </c>
      <c r="F12" s="8" t="s">
        <v>32</v>
      </c>
      <c r="G12" s="8" t="s">
        <v>34</v>
      </c>
      <c r="H12" s="30" t="s">
        <v>57</v>
      </c>
      <c r="I12" s="8" t="s">
        <v>50</v>
      </c>
      <c r="J12" s="8" t="s">
        <v>86</v>
      </c>
    </row>
    <row r="13" spans="1:10" ht="14.25">
      <c r="A13" s="8" t="s">
        <v>29</v>
      </c>
      <c r="B13" s="8" t="s">
        <v>23</v>
      </c>
      <c r="C13" s="8" t="s">
        <v>27</v>
      </c>
      <c r="D13" s="8"/>
      <c r="E13" s="30" t="s">
        <v>28</v>
      </c>
      <c r="F13" s="8" t="s">
        <v>28</v>
      </c>
      <c r="G13" s="8" t="s">
        <v>28</v>
      </c>
      <c r="H13" s="30"/>
      <c r="I13" s="8" t="s">
        <v>49</v>
      </c>
      <c r="J13" s="8" t="s">
        <v>87</v>
      </c>
    </row>
    <row r="14" spans="4:8" ht="12.75">
      <c r="D14" s="5"/>
      <c r="E14" s="5"/>
      <c r="F14" s="5"/>
      <c r="G14" s="1"/>
      <c r="H14" s="5"/>
    </row>
    <row r="15" spans="1:10" ht="12.75">
      <c r="A15" s="2" t="s">
        <v>0</v>
      </c>
      <c r="B15" s="83">
        <v>3</v>
      </c>
      <c r="C15" s="3"/>
      <c r="D15" s="5"/>
      <c r="E15" s="5"/>
      <c r="F15" s="5">
        <f>$E$16/$B$18*B15</f>
        <v>7737.141265350816</v>
      </c>
      <c r="G15" s="5">
        <f>'[1]a conto bofæller'!E6</f>
        <v>8702</v>
      </c>
      <c r="H15" s="5">
        <f>F15-G15</f>
        <v>-964.858734649184</v>
      </c>
      <c r="I15" s="5">
        <f>(F15)/6*(1+K$8)</f>
        <v>1298.2804711235985</v>
      </c>
      <c r="J15" s="5"/>
    </row>
    <row r="16" spans="1:10" ht="12.75">
      <c r="A16" s="2" t="s">
        <v>1</v>
      </c>
      <c r="B16" s="83">
        <v>1</v>
      </c>
      <c r="C16" s="35">
        <f>'[1]Aflæsninger'!E12</f>
        <v>323</v>
      </c>
      <c r="D16" s="5"/>
      <c r="E16" s="5">
        <f>(C16*$D$8)</f>
        <v>21457.671775906263</v>
      </c>
      <c r="F16" s="5">
        <f>$E$16/$B$18*B16</f>
        <v>2579.047088450272</v>
      </c>
      <c r="G16" s="5">
        <f>'[1]a conto bofæller'!E7</f>
        <v>2902</v>
      </c>
      <c r="H16" s="5">
        <f>F16-G16</f>
        <v>-322.952911549728</v>
      </c>
      <c r="I16" s="5">
        <f aca="true" t="shared" si="0" ref="I16:I50">(F16)/6*(1+K$8)</f>
        <v>432.76015704119953</v>
      </c>
      <c r="J16" s="5">
        <f>C16/B18</f>
        <v>38.82211538461539</v>
      </c>
    </row>
    <row r="17" spans="1:10" ht="12.75">
      <c r="A17" s="2" t="s">
        <v>2</v>
      </c>
      <c r="B17" s="84">
        <v>4.32</v>
      </c>
      <c r="C17" s="3"/>
      <c r="D17" s="5"/>
      <c r="E17" s="5"/>
      <c r="F17" s="5">
        <f>$E$16/$B$18*B17</f>
        <v>11141.483422105175</v>
      </c>
      <c r="G17" s="16">
        <f>'[1]a conto bofæller'!E8</f>
        <v>12706</v>
      </c>
      <c r="H17" s="16">
        <f>F17-G17</f>
        <v>-1564.5165778948249</v>
      </c>
      <c r="I17" s="16">
        <f t="shared" si="0"/>
        <v>1869.5238784179821</v>
      </c>
      <c r="J17" s="16"/>
    </row>
    <row r="18" spans="1:10" ht="12.75">
      <c r="A18" s="9" t="s">
        <v>35</v>
      </c>
      <c r="B18" s="25">
        <f>SUM(B15:B17)</f>
        <v>8.32</v>
      </c>
      <c r="C18" s="10"/>
      <c r="D18" s="11"/>
      <c r="E18" s="11"/>
      <c r="F18" s="11"/>
      <c r="G18" s="5" t="s">
        <v>3</v>
      </c>
      <c r="H18" s="5"/>
      <c r="I18" s="5"/>
      <c r="J18" s="5"/>
    </row>
    <row r="19" spans="1:10" ht="12.75">
      <c r="A19" s="12" t="s">
        <v>4</v>
      </c>
      <c r="B19" s="83">
        <v>2</v>
      </c>
      <c r="C19" s="46"/>
      <c r="D19" s="14"/>
      <c r="E19" s="14"/>
      <c r="F19" s="5">
        <f>$E$20/$B$22*B19</f>
        <v>4736.571360932607</v>
      </c>
      <c r="G19" s="5">
        <f>'[1]a conto bofæller'!E9</f>
        <v>3952</v>
      </c>
      <c r="H19" s="5">
        <f>F19-G19</f>
        <v>784.5713609326067</v>
      </c>
      <c r="I19" s="5">
        <f t="shared" si="0"/>
        <v>794.7894302409773</v>
      </c>
      <c r="J19" s="5"/>
    </row>
    <row r="20" spans="1:10" ht="12.75">
      <c r="A20" s="12" t="s">
        <v>5</v>
      </c>
      <c r="B20" s="83">
        <v>2</v>
      </c>
      <c r="C20" s="68">
        <f>'[1]Aflæsninger'!E13</f>
        <v>236</v>
      </c>
      <c r="D20" s="5"/>
      <c r="E20" s="14">
        <f>C20*$D$8</f>
        <v>15678.051204686928</v>
      </c>
      <c r="F20" s="5">
        <f>$E$20/$B$22*B20</f>
        <v>4736.571360932607</v>
      </c>
      <c r="G20" s="5">
        <f>'[1]a conto bofæller'!E10</f>
        <v>2932</v>
      </c>
      <c r="H20" s="5">
        <f>F20-G20</f>
        <v>1804.5713609326067</v>
      </c>
      <c r="I20" s="5">
        <f t="shared" si="0"/>
        <v>794.7894302409773</v>
      </c>
      <c r="J20" s="5">
        <f>C20/B22</f>
        <v>35.64954682779456</v>
      </c>
    </row>
    <row r="21" spans="1:10" ht="12.75">
      <c r="A21" s="15" t="s">
        <v>6</v>
      </c>
      <c r="B21" s="84">
        <v>2.62</v>
      </c>
      <c r="C21" s="45"/>
      <c r="D21" s="16"/>
      <c r="E21" s="16"/>
      <c r="F21" s="16">
        <f>$E$20/$B$22*B21</f>
        <v>6204.908482821715</v>
      </c>
      <c r="G21" s="16">
        <f>'[1]a conto bofæller'!E11</f>
        <v>4624</v>
      </c>
      <c r="H21" s="16">
        <f>F21-G21</f>
        <v>1580.9084828217146</v>
      </c>
      <c r="I21" s="16">
        <f t="shared" si="0"/>
        <v>1041.1741536156803</v>
      </c>
      <c r="J21" s="16"/>
    </row>
    <row r="22" spans="1:10" ht="12.75">
      <c r="A22" s="2" t="s">
        <v>35</v>
      </c>
      <c r="B22" s="25">
        <f>SUM(B19:B21)</f>
        <v>6.62</v>
      </c>
      <c r="C22" s="4"/>
      <c r="D22" s="5"/>
      <c r="E22" s="5"/>
      <c r="F22" s="5"/>
      <c r="G22" s="5"/>
      <c r="H22" s="5"/>
      <c r="I22" s="5"/>
      <c r="J22" s="5"/>
    </row>
    <row r="23" spans="1:10" ht="12.75">
      <c r="A23" s="2" t="s">
        <v>7</v>
      </c>
      <c r="B23" s="83">
        <v>2</v>
      </c>
      <c r="C23" s="35">
        <f>'[1]Aflæsninger'!E14</f>
        <v>140</v>
      </c>
      <c r="D23" s="5"/>
      <c r="E23" s="5">
        <f>C23*$D$8</f>
        <v>9300.538850238008</v>
      </c>
      <c r="F23" s="5">
        <f>$E$23/$B$25*B23</f>
        <v>3100.179616746003</v>
      </c>
      <c r="G23" s="5">
        <f>'[1]a conto bofæller'!E12</f>
        <v>3660</v>
      </c>
      <c r="H23" s="5">
        <f>F23-G23</f>
        <v>-559.8203832539971</v>
      </c>
      <c r="I23" s="5">
        <f t="shared" si="0"/>
        <v>520.2053982678939</v>
      </c>
      <c r="J23" s="5">
        <f>C23/B25</f>
        <v>23.333333333333332</v>
      </c>
    </row>
    <row r="24" spans="1:10" ht="12.75">
      <c r="A24" s="2" t="s">
        <v>8</v>
      </c>
      <c r="B24" s="84">
        <v>4</v>
      </c>
      <c r="C24" s="35"/>
      <c r="D24" s="5"/>
      <c r="E24" s="5"/>
      <c r="F24" s="5">
        <f>$E$23/$B$25*B24</f>
        <v>6200.359233492006</v>
      </c>
      <c r="G24" s="16">
        <f>'[1]a conto bofæller'!E11</f>
        <v>4624</v>
      </c>
      <c r="H24" s="16">
        <f>F24-G24</f>
        <v>1576.3592334920058</v>
      </c>
      <c r="I24" s="16">
        <f t="shared" si="0"/>
        <v>1040.4107965357878</v>
      </c>
      <c r="J24" s="16"/>
    </row>
    <row r="25" spans="1:10" ht="12.75">
      <c r="A25" s="9" t="s">
        <v>35</v>
      </c>
      <c r="B25" s="25">
        <f>SUM(B23:B24)</f>
        <v>6</v>
      </c>
      <c r="C25" s="70"/>
      <c r="D25" s="11"/>
      <c r="E25" s="11"/>
      <c r="F25" s="11"/>
      <c r="G25" s="5"/>
      <c r="H25" s="5"/>
      <c r="I25" s="5"/>
      <c r="J25" s="5"/>
    </row>
    <row r="26" spans="1:10" ht="12.75">
      <c r="A26" s="12" t="s">
        <v>9</v>
      </c>
      <c r="B26" s="83">
        <v>4</v>
      </c>
      <c r="C26" s="68"/>
      <c r="D26" s="14"/>
      <c r="E26" s="14"/>
      <c r="F26" s="5">
        <f>$E$27/$B$29*B26</f>
        <v>8001.4159632206365</v>
      </c>
      <c r="G26" s="5">
        <f>'[1]a conto bofæller'!E14</f>
        <v>7575</v>
      </c>
      <c r="H26" s="5">
        <f>F26-G26</f>
        <v>426.4159632206365</v>
      </c>
      <c r="I26" s="5">
        <f t="shared" si="0"/>
        <v>1342.6253612438024</v>
      </c>
      <c r="J26" s="5"/>
    </row>
    <row r="27" spans="1:10" ht="12.75">
      <c r="A27" s="12" t="s">
        <v>10</v>
      </c>
      <c r="B27" s="83">
        <v>3</v>
      </c>
      <c r="C27" s="68">
        <f>'[1]Aflæsninger'!E15</f>
        <v>271</v>
      </c>
      <c r="D27" s="5"/>
      <c r="E27" s="14">
        <f>C27*$D$8</f>
        <v>18003.185917246432</v>
      </c>
      <c r="F27" s="5">
        <f>$E$27/$B$29*B27</f>
        <v>6001.061972415478</v>
      </c>
      <c r="G27" s="5">
        <f>'[1]a conto bofæller'!E15</f>
        <v>5683</v>
      </c>
      <c r="H27" s="5">
        <f>F27-G27</f>
        <v>318.0619724154776</v>
      </c>
      <c r="I27" s="5">
        <f t="shared" si="0"/>
        <v>1006.9690209328519</v>
      </c>
      <c r="J27" s="5">
        <f>C27/B29</f>
        <v>30.11111111111111</v>
      </c>
    </row>
    <row r="28" spans="1:10" ht="12.75">
      <c r="A28" s="15" t="s">
        <v>11</v>
      </c>
      <c r="B28" s="84">
        <v>2</v>
      </c>
      <c r="C28" s="71"/>
      <c r="D28" s="16"/>
      <c r="E28" s="16"/>
      <c r="F28" s="16">
        <f>$E$27/$B$29*B28</f>
        <v>4000.7079816103183</v>
      </c>
      <c r="G28" s="16">
        <f>'[1]a conto bofæller'!E16</f>
        <v>5112</v>
      </c>
      <c r="H28" s="16">
        <f>F28-G28</f>
        <v>-1111.2920183896817</v>
      </c>
      <c r="I28" s="16">
        <f t="shared" si="0"/>
        <v>671.3126806219012</v>
      </c>
      <c r="J28" s="16"/>
    </row>
    <row r="29" spans="1:10" ht="12.75">
      <c r="A29" s="2" t="s">
        <v>35</v>
      </c>
      <c r="B29" s="4">
        <f>SUM(B26:B28)</f>
        <v>9</v>
      </c>
      <c r="C29" s="48"/>
      <c r="D29" s="5"/>
      <c r="E29" s="5"/>
      <c r="F29" s="5"/>
      <c r="G29" s="5"/>
      <c r="H29" s="5"/>
      <c r="I29" s="5"/>
      <c r="J29" s="5"/>
    </row>
    <row r="30" spans="1:10" ht="12.75">
      <c r="A30" s="2">
        <v>12</v>
      </c>
      <c r="B30" s="83">
        <v>4</v>
      </c>
      <c r="C30" s="35"/>
      <c r="D30" s="5"/>
      <c r="E30" s="5"/>
      <c r="F30" s="5">
        <f>$E$31/$B$33*B30</f>
        <v>8653.444957405474</v>
      </c>
      <c r="G30" s="5">
        <f>'[1]a conto bofæller'!E17</f>
        <v>10119</v>
      </c>
      <c r="H30" s="5">
        <f aca="true" t="shared" si="1" ref="H30:H36">F30-G30</f>
        <v>-1465.5550425945257</v>
      </c>
      <c r="I30" s="5">
        <f t="shared" si="0"/>
        <v>1452.0348292533226</v>
      </c>
      <c r="J30" s="5"/>
    </row>
    <row r="31" spans="1:10" ht="12.75">
      <c r="A31" s="2">
        <v>13</v>
      </c>
      <c r="B31" s="83">
        <v>2</v>
      </c>
      <c r="C31" s="35">
        <f>'[1]Aflæsninger'!E16</f>
        <v>339</v>
      </c>
      <c r="D31" s="5"/>
      <c r="E31" s="5">
        <f>C31*$D$8</f>
        <v>22520.590501647748</v>
      </c>
      <c r="F31" s="5">
        <f>$E$31/$B$33*B31</f>
        <v>4326.722478702737</v>
      </c>
      <c r="G31" s="5">
        <f>'[1]a conto bofæller'!E18</f>
        <v>5192</v>
      </c>
      <c r="H31" s="5">
        <f t="shared" si="1"/>
        <v>-865.2775212972629</v>
      </c>
      <c r="I31" s="5">
        <f t="shared" si="0"/>
        <v>726.0174146266613</v>
      </c>
      <c r="J31" s="5">
        <f>C31/B33</f>
        <v>32.564841498559076</v>
      </c>
    </row>
    <row r="32" spans="1:10" ht="12.75">
      <c r="A32" s="2">
        <v>14</v>
      </c>
      <c r="B32" s="84">
        <v>4.41</v>
      </c>
      <c r="C32" s="35"/>
      <c r="D32" s="5"/>
      <c r="E32" s="5"/>
      <c r="F32" s="5">
        <f>$E$31/$B$33*B32</f>
        <v>9540.423065539535</v>
      </c>
      <c r="G32" s="16">
        <f>'[1]a conto bofæller'!E19</f>
        <v>12647</v>
      </c>
      <c r="H32" s="16">
        <f t="shared" si="1"/>
        <v>-3106.576934460465</v>
      </c>
      <c r="I32" s="16">
        <f t="shared" si="0"/>
        <v>1600.868399251788</v>
      </c>
      <c r="J32" s="16"/>
    </row>
    <row r="33" spans="1:10" ht="12.75">
      <c r="A33" s="9" t="s">
        <v>35</v>
      </c>
      <c r="B33" s="25">
        <f>SUM(B30:B32)</f>
        <v>10.41</v>
      </c>
      <c r="C33" s="70"/>
      <c r="D33" s="11"/>
      <c r="E33" s="11"/>
      <c r="F33" s="11"/>
      <c r="G33" s="5"/>
      <c r="H33" s="5"/>
      <c r="I33" s="5"/>
      <c r="J33" s="5"/>
    </row>
    <row r="34" spans="1:10" ht="12.75">
      <c r="A34" s="12" t="s">
        <v>12</v>
      </c>
      <c r="B34" s="83">
        <v>2</v>
      </c>
      <c r="C34" s="68"/>
      <c r="D34" s="14"/>
      <c r="E34" s="14"/>
      <c r="F34" s="5">
        <f>$E$35/$B$37*B34</f>
        <v>5137.440507750519</v>
      </c>
      <c r="G34" s="5">
        <f>'[1]a conto bofæller'!E20</f>
        <v>5962</v>
      </c>
      <c r="H34" s="5">
        <f t="shared" si="1"/>
        <v>-824.5594922494811</v>
      </c>
      <c r="I34" s="5">
        <f t="shared" si="0"/>
        <v>862.0546599867956</v>
      </c>
      <c r="J34" s="5"/>
    </row>
    <row r="35" spans="1:10" ht="12.75">
      <c r="A35" s="12" t="s">
        <v>22</v>
      </c>
      <c r="B35" s="83">
        <v>2</v>
      </c>
      <c r="C35" s="68">
        <f>'[1]Aflæsninger'!E17</f>
        <v>232</v>
      </c>
      <c r="D35" s="5"/>
      <c r="E35" s="14">
        <f>C35*$D$8</f>
        <v>15412.321523251558</v>
      </c>
      <c r="F35" s="5">
        <f>$E$35/$B$37*B35</f>
        <v>5137.440507750519</v>
      </c>
      <c r="G35" s="5">
        <f>'[1]a conto bofæller'!E21</f>
        <v>5962</v>
      </c>
      <c r="H35" s="5">
        <f t="shared" si="1"/>
        <v>-824.5594922494811</v>
      </c>
      <c r="I35" s="5">
        <f t="shared" si="0"/>
        <v>862.0546599867956</v>
      </c>
      <c r="J35" s="5">
        <f>C35/B37</f>
        <v>38.666666666666664</v>
      </c>
    </row>
    <row r="36" spans="1:10" ht="12.75">
      <c r="A36" s="15" t="s">
        <v>13</v>
      </c>
      <c r="B36" s="84">
        <v>2</v>
      </c>
      <c r="C36" s="71"/>
      <c r="D36" s="16"/>
      <c r="E36" s="16"/>
      <c r="F36" s="5">
        <f>$E$35/$B$37*B36</f>
        <v>5137.440507750519</v>
      </c>
      <c r="G36" s="16">
        <f>'[1]a conto bofæller'!E22</f>
        <v>5962</v>
      </c>
      <c r="H36" s="16">
        <f t="shared" si="1"/>
        <v>-824.5594922494811</v>
      </c>
      <c r="I36" s="16">
        <f t="shared" si="0"/>
        <v>862.0546599867956</v>
      </c>
      <c r="J36" s="16"/>
    </row>
    <row r="37" spans="1:10" ht="12.75">
      <c r="A37" s="2" t="s">
        <v>35</v>
      </c>
      <c r="B37" s="25">
        <f>SUM(B34:B36)</f>
        <v>6</v>
      </c>
      <c r="C37" s="48"/>
      <c r="D37" s="5"/>
      <c r="E37" s="5"/>
      <c r="F37" s="11"/>
      <c r="G37" s="5"/>
      <c r="H37" s="5"/>
      <c r="I37" s="5"/>
      <c r="J37" s="5"/>
    </row>
    <row r="38" spans="1:10" ht="12.75">
      <c r="A38" s="2" t="s">
        <v>14</v>
      </c>
      <c r="B38" s="83">
        <v>2.5</v>
      </c>
      <c r="C38" s="35"/>
      <c r="D38" s="5"/>
      <c r="E38" s="5"/>
      <c r="F38" s="5">
        <f>$E$39/$B$41*B38</f>
        <v>5570.165948706927</v>
      </c>
      <c r="G38" s="5">
        <f>'[1]a conto bofæller'!E23</f>
        <v>5225</v>
      </c>
      <c r="H38" s="5">
        <f>F38-G38</f>
        <v>345.16594870692734</v>
      </c>
      <c r="I38" s="5">
        <f t="shared" si="0"/>
        <v>934.6653271679614</v>
      </c>
      <c r="J38" s="5"/>
    </row>
    <row r="39" spans="1:10" ht="12.75">
      <c r="A39" s="2" t="s">
        <v>15</v>
      </c>
      <c r="B39" s="83">
        <v>2</v>
      </c>
      <c r="C39" s="35">
        <f>'[1]Aflæsninger'!E18</f>
        <v>272</v>
      </c>
      <c r="D39" s="5"/>
      <c r="E39" s="5">
        <f>C39*$D$8</f>
        <v>18069.618337605272</v>
      </c>
      <c r="F39" s="5">
        <f>$E$39/$B$41*B39</f>
        <v>4456.132758965542</v>
      </c>
      <c r="G39" s="5">
        <f>'[1]a conto bofæller'!E24</f>
        <v>4427</v>
      </c>
      <c r="H39" s="5">
        <f>F39-G39</f>
        <v>29.132758965542052</v>
      </c>
      <c r="I39" s="5">
        <f t="shared" si="0"/>
        <v>747.7322617343692</v>
      </c>
      <c r="J39" s="5">
        <f>C39/B41</f>
        <v>33.53884093711468</v>
      </c>
    </row>
    <row r="40" spans="1:10" ht="12.75">
      <c r="A40" s="2" t="s">
        <v>16</v>
      </c>
      <c r="B40" s="83">
        <v>3.61</v>
      </c>
      <c r="C40" s="35"/>
      <c r="D40" s="5"/>
      <c r="E40" s="5"/>
      <c r="F40" s="5">
        <f>$E$39/$B$41*B40</f>
        <v>8043.319629932803</v>
      </c>
      <c r="G40" s="16">
        <f>'[1]a conto bofæller'!E25</f>
        <v>8854</v>
      </c>
      <c r="H40" s="16">
        <f>F40-G40</f>
        <v>-810.6803700671971</v>
      </c>
      <c r="I40" s="16">
        <f t="shared" si="0"/>
        <v>1349.6567324305365</v>
      </c>
      <c r="J40" s="16"/>
    </row>
    <row r="41" spans="1:10" ht="12.75">
      <c r="A41" s="9" t="s">
        <v>35</v>
      </c>
      <c r="B41" s="23">
        <f>SUM(B38:B40)</f>
        <v>8.11</v>
      </c>
      <c r="C41" s="70"/>
      <c r="D41" s="11"/>
      <c r="E41" s="11"/>
      <c r="F41" s="11"/>
      <c r="G41" s="5"/>
      <c r="H41" s="5"/>
      <c r="I41" s="5"/>
      <c r="J41" s="5"/>
    </row>
    <row r="42" spans="1:10" ht="12.75">
      <c r="A42" s="12" t="s">
        <v>17</v>
      </c>
      <c r="B42" s="83">
        <v>4</v>
      </c>
      <c r="C42" s="68"/>
      <c r="D42" s="14"/>
      <c r="E42" s="14"/>
      <c r="F42" s="5">
        <f>$E$43/$B$45*B42</f>
        <v>7136.203459041783</v>
      </c>
      <c r="G42" s="5">
        <f>'[1]a conto bofæller'!E26</f>
        <v>5966</v>
      </c>
      <c r="H42" s="5">
        <f>F42-G42</f>
        <v>1170.2034590417834</v>
      </c>
      <c r="I42" s="5">
        <f t="shared" si="0"/>
        <v>1197.4440263006545</v>
      </c>
      <c r="J42" s="5"/>
    </row>
    <row r="43" spans="1:10" ht="12.75">
      <c r="A43" s="12" t="s">
        <v>18</v>
      </c>
      <c r="B43" s="83">
        <v>2</v>
      </c>
      <c r="C43" s="68">
        <f>'[1]Aflæsninger'!E19</f>
        <v>228</v>
      </c>
      <c r="D43" s="5"/>
      <c r="E43" s="14">
        <f>C43*$D$8</f>
        <v>15146.591841816185</v>
      </c>
      <c r="F43" s="5">
        <f>$E$43/$B$45*B43</f>
        <v>3568.1017295208917</v>
      </c>
      <c r="G43" s="5">
        <f>'[1]a conto bofæller'!E27</f>
        <v>2986</v>
      </c>
      <c r="H43" s="5">
        <f>F43-G43</f>
        <v>582.1017295208917</v>
      </c>
      <c r="I43" s="5">
        <f t="shared" si="0"/>
        <v>598.7220131503273</v>
      </c>
      <c r="J43" s="5">
        <f>C43/B45</f>
        <v>26.85512367491166</v>
      </c>
    </row>
    <row r="44" spans="1:10" ht="12.75">
      <c r="A44" s="15" t="s">
        <v>19</v>
      </c>
      <c r="B44" s="84">
        <v>2.49</v>
      </c>
      <c r="C44" s="71"/>
      <c r="D44" s="16"/>
      <c r="E44" s="16"/>
      <c r="F44" s="16">
        <f>$E$43/$B$45*B44</f>
        <v>4442.286653253511</v>
      </c>
      <c r="G44" s="16">
        <f>'[1]a conto bofæller'!E28</f>
        <v>3461</v>
      </c>
      <c r="H44" s="16">
        <f>F44-G44</f>
        <v>981.2866532535108</v>
      </c>
      <c r="I44" s="16">
        <f t="shared" si="0"/>
        <v>745.4089063721575</v>
      </c>
      <c r="J44" s="16"/>
    </row>
    <row r="45" spans="1:10" ht="12.75">
      <c r="A45" s="2" t="s">
        <v>35</v>
      </c>
      <c r="B45" s="4">
        <f>SUM(B42:B44)</f>
        <v>8.49</v>
      </c>
      <c r="C45" s="48"/>
      <c r="D45" s="5"/>
      <c r="E45" s="5" t="s">
        <v>3</v>
      </c>
      <c r="F45" s="5"/>
      <c r="G45" s="5"/>
      <c r="H45" s="5"/>
      <c r="I45" s="5"/>
      <c r="J45" s="5"/>
    </row>
    <row r="46" spans="1:11" ht="12.75">
      <c r="A46" s="2" t="s">
        <v>20</v>
      </c>
      <c r="B46" s="83">
        <v>1</v>
      </c>
      <c r="C46" s="35">
        <f>'[1]Aflæsninger'!E20</f>
        <v>31</v>
      </c>
      <c r="D46" s="5"/>
      <c r="E46" s="5"/>
      <c r="F46" s="5">
        <f>($C46+D$49*B46/B$48)*$D$8</f>
        <v>2932.9913588429154</v>
      </c>
      <c r="G46" s="5">
        <f>'[1]a conto bofæller'!E29</f>
        <v>2896</v>
      </c>
      <c r="H46" s="5">
        <f>F46-G46</f>
        <v>36.99135884291536</v>
      </c>
      <c r="I46" s="5">
        <f t="shared" si="0"/>
        <v>492.15146428987543</v>
      </c>
      <c r="J46" s="5">
        <f>C46/B46</f>
        <v>31</v>
      </c>
      <c r="K46" t="s">
        <v>58</v>
      </c>
    </row>
    <row r="47" spans="1:11" ht="12.75">
      <c r="A47" s="15" t="s">
        <v>21</v>
      </c>
      <c r="B47" s="84">
        <v>1</v>
      </c>
      <c r="C47" s="71">
        <f>'[1]Aflæsninger'!E21</f>
        <v>21</v>
      </c>
      <c r="D47" s="16"/>
      <c r="E47" s="16"/>
      <c r="F47" s="16">
        <f>($C47+D$49*B47/B$48)*$D$8</f>
        <v>2268.6671552544863</v>
      </c>
      <c r="G47" s="16">
        <f>'[1]a conto bofæller'!E30</f>
        <v>2643</v>
      </c>
      <c r="H47" s="16">
        <f>F47-G47</f>
        <v>-374.33284474551374</v>
      </c>
      <c r="I47" s="16">
        <f t="shared" si="0"/>
        <v>380.67887894675533</v>
      </c>
      <c r="J47" s="16">
        <f>C47/B47</f>
        <v>21</v>
      </c>
      <c r="K47" t="s">
        <v>58</v>
      </c>
    </row>
    <row r="48" spans="1:10" ht="12.75">
      <c r="A48" s="2" t="s">
        <v>35</v>
      </c>
      <c r="B48" s="48">
        <f>SUM(B46:B47)</f>
        <v>2</v>
      </c>
      <c r="C48" s="34"/>
      <c r="D48" s="5"/>
      <c r="E48" s="5"/>
      <c r="F48" s="5"/>
      <c r="G48" s="5"/>
      <c r="H48" s="5"/>
      <c r="I48" s="5"/>
      <c r="J48" s="5"/>
    </row>
    <row r="49" spans="1:11" ht="12.75">
      <c r="A49" s="2" t="s">
        <v>25</v>
      </c>
      <c r="B49" s="83">
        <v>1.66</v>
      </c>
      <c r="C49" s="35">
        <f>'[1]Aflæsninger'!E26</f>
        <v>189</v>
      </c>
      <c r="D49" s="33">
        <f>'[1]Aflæsninger'!E27</f>
        <v>26.30000000000001</v>
      </c>
      <c r="E49" s="5">
        <f>(C49-D49)*D8</f>
        <v>10808.554792383742</v>
      </c>
      <c r="F49" s="5">
        <f>$E$49/$B$51*B49</f>
        <v>3170.000168790991</v>
      </c>
      <c r="G49" s="5">
        <f>'[1]a conto bofæller'!E31</f>
        <v>3537</v>
      </c>
      <c r="H49" s="5">
        <f>F49-G49</f>
        <v>-366.9998312090088</v>
      </c>
      <c r="I49" s="5">
        <f t="shared" si="0"/>
        <v>531.9211801173245</v>
      </c>
      <c r="J49" s="5">
        <f>C49/B51</f>
        <v>33.39222614840989</v>
      </c>
      <c r="K49" t="s">
        <v>59</v>
      </c>
    </row>
    <row r="50" spans="1:10" ht="12.75">
      <c r="A50" s="2" t="s">
        <v>26</v>
      </c>
      <c r="B50" s="83">
        <v>4</v>
      </c>
      <c r="C50" s="35"/>
      <c r="D50" s="5"/>
      <c r="E50" s="5"/>
      <c r="F50" s="5">
        <f>$E$49/$B$51*B50</f>
        <v>7638.55462359275</v>
      </c>
      <c r="G50" s="5">
        <f>'[1]a conto bofæller'!E32</f>
        <v>6874</v>
      </c>
      <c r="H50" s="16">
        <f>F50-G50</f>
        <v>764.5546235927504</v>
      </c>
      <c r="I50" s="16">
        <f t="shared" si="0"/>
        <v>1281.7377834152396</v>
      </c>
      <c r="J50" s="16"/>
    </row>
    <row r="51" spans="1:10" ht="12.75">
      <c r="A51" s="17" t="s">
        <v>35</v>
      </c>
      <c r="B51" s="24">
        <f>SUM(B49:B50)</f>
        <v>5.66</v>
      </c>
      <c r="C51" s="10"/>
      <c r="D51" s="11"/>
      <c r="E51" s="11"/>
      <c r="F51" s="11"/>
      <c r="G51" s="11"/>
      <c r="H51" s="5"/>
      <c r="I51" s="14"/>
      <c r="J51" s="14"/>
    </row>
    <row r="52" spans="1:11" ht="12.75">
      <c r="A52" s="13"/>
      <c r="B52" s="40"/>
      <c r="C52" s="41"/>
      <c r="D52" s="14"/>
      <c r="E52" s="14"/>
      <c r="F52" s="14"/>
      <c r="G52" s="14"/>
      <c r="H52" s="14"/>
      <c r="I52" s="14"/>
      <c r="J52" s="14"/>
      <c r="K52" s="20"/>
    </row>
    <row r="53" spans="1:11" ht="12.75">
      <c r="A53" s="22" t="s">
        <v>38</v>
      </c>
      <c r="B53" s="22"/>
      <c r="C53" s="32">
        <f>SUM(C14:C50)</f>
        <v>2282</v>
      </c>
      <c r="D53" s="5" t="s">
        <v>36</v>
      </c>
      <c r="E53" s="5">
        <f>SUM(F14:F50)</f>
        <v>151598.78325887953</v>
      </c>
      <c r="F53" t="s">
        <v>37</v>
      </c>
      <c r="G53" s="5">
        <f>SUM(G14:G50)</f>
        <v>155185</v>
      </c>
      <c r="H53" s="21">
        <f>SUM(H14:H50)</f>
        <v>-3586.2167411204628</v>
      </c>
      <c r="I53" s="95"/>
      <c r="K53" s="20"/>
    </row>
    <row r="54" spans="1:10" ht="12.75">
      <c r="A54" s="114" t="s">
        <v>39</v>
      </c>
      <c r="B54" s="114"/>
      <c r="C54" s="69">
        <f>'[1]Aflæsninger'!E23</f>
        <v>493</v>
      </c>
      <c r="D54" s="5" t="s">
        <v>36</v>
      </c>
      <c r="E54" s="5">
        <f>C54*$D$8</f>
        <v>32751.183236909557</v>
      </c>
      <c r="F54" s="27" t="s">
        <v>37</v>
      </c>
      <c r="G54" s="5"/>
      <c r="H54" s="5"/>
      <c r="I54" s="32"/>
      <c r="J54" s="5"/>
    </row>
    <row r="55" spans="1:11" ht="12.75">
      <c r="A55" s="22" t="s">
        <v>44</v>
      </c>
      <c r="B55" s="22"/>
      <c r="C55" s="32">
        <f>C53+C54</f>
        <v>2775</v>
      </c>
      <c r="D55" s="5" t="s">
        <v>36</v>
      </c>
      <c r="E55" s="5">
        <f>E53+E54</f>
        <v>184349.9664957891</v>
      </c>
      <c r="F55" s="27" t="s">
        <v>37</v>
      </c>
      <c r="G55" s="5"/>
      <c r="H55" s="38"/>
      <c r="I55" s="32"/>
      <c r="J55" s="38"/>
      <c r="K55" s="38"/>
    </row>
    <row r="56" spans="1:10" ht="12.75">
      <c r="A56" s="29" t="s">
        <v>55</v>
      </c>
      <c r="B56" s="1"/>
      <c r="C56" s="32">
        <f>D4-C55</f>
        <v>-44</v>
      </c>
      <c r="D56" s="5" t="s">
        <v>36</v>
      </c>
      <c r="E56" s="5">
        <f>D6-E55</f>
        <v>-2923.0264957890904</v>
      </c>
      <c r="F56" s="27" t="s">
        <v>37</v>
      </c>
      <c r="G56" s="5"/>
      <c r="H56" s="5"/>
      <c r="I56" s="32"/>
      <c r="J56" s="5"/>
    </row>
    <row r="57" spans="1:9" s="37" customFormat="1" ht="12.75">
      <c r="A57" s="37" t="s">
        <v>45</v>
      </c>
      <c r="C57" s="38">
        <f>C55+C56</f>
        <v>2731</v>
      </c>
      <c r="D57" s="38" t="s">
        <v>36</v>
      </c>
      <c r="E57" s="38">
        <f>E55+E56</f>
        <v>181426.94</v>
      </c>
      <c r="F57" s="39" t="s">
        <v>37</v>
      </c>
      <c r="I57" s="32"/>
    </row>
    <row r="58" spans="1:10" ht="12.75">
      <c r="A58" s="2"/>
      <c r="B58" s="1"/>
      <c r="C58" s="1"/>
      <c r="D58" s="5"/>
      <c r="E58" s="5"/>
      <c r="F58" s="5"/>
      <c r="G58" s="5"/>
      <c r="H58" s="5"/>
      <c r="I58" s="5"/>
      <c r="J58" s="5"/>
    </row>
    <row r="59" ht="12.75">
      <c r="A59" t="s">
        <v>85</v>
      </c>
    </row>
    <row r="61" spans="1:9" ht="12.75">
      <c r="A61" s="36" t="s">
        <v>47</v>
      </c>
      <c r="C61" s="33">
        <f>C56+C54</f>
        <v>449</v>
      </c>
      <c r="D61" s="35" t="s">
        <v>36</v>
      </c>
      <c r="E61" s="33">
        <f>E56+E54</f>
        <v>29828.156741120467</v>
      </c>
      <c r="F61" s="27" t="s">
        <v>37</v>
      </c>
      <c r="G61" s="5">
        <f>'[1]a conto fælleshuset'!G11</f>
        <v>18814</v>
      </c>
      <c r="H61" s="5">
        <f>E63-G61</f>
        <v>318.53706334675735</v>
      </c>
      <c r="I61" s="91"/>
    </row>
    <row r="62" spans="1:11" ht="12.75">
      <c r="A62" s="92" t="s">
        <v>89</v>
      </c>
      <c r="B62" s="92"/>
      <c r="C62" s="84">
        <v>161</v>
      </c>
      <c r="D62" s="93" t="s">
        <v>36</v>
      </c>
      <c r="E62" s="16">
        <f>C62*D8</f>
        <v>10695.61967777371</v>
      </c>
      <c r="F62" s="92" t="s">
        <v>37</v>
      </c>
      <c r="G62" s="97">
        <v>10214</v>
      </c>
      <c r="H62" s="16">
        <f>E62-G62</f>
        <v>481.61967777370955</v>
      </c>
      <c r="K62" t="s">
        <v>143</v>
      </c>
    </row>
    <row r="63" spans="1:9" ht="13.5" thickBot="1">
      <c r="A63" s="36" t="s">
        <v>90</v>
      </c>
      <c r="C63" s="33">
        <f>C61-C62</f>
        <v>288</v>
      </c>
      <c r="D63" s="35" t="s">
        <v>36</v>
      </c>
      <c r="E63" s="33">
        <f>E61-E62</f>
        <v>19132.537063346757</v>
      </c>
      <c r="F63" s="27" t="s">
        <v>37</v>
      </c>
      <c r="G63" s="5"/>
      <c r="H63" s="90">
        <f>SUM(H61:H62)</f>
        <v>800.1567411204669</v>
      </c>
      <c r="I63" s="89">
        <f>(E63)/6*(1+K$8)</f>
        <v>3210.410457881859</v>
      </c>
    </row>
    <row r="64" ht="13.5" thickTop="1"/>
    <row r="65" ht="12.75">
      <c r="A65" t="s">
        <v>84</v>
      </c>
    </row>
    <row r="66" ht="12.75">
      <c r="A66" s="28"/>
    </row>
    <row r="67" spans="1:10" s="107" customFormat="1" ht="12.75">
      <c r="A67" s="107" t="s">
        <v>45</v>
      </c>
      <c r="E67" s="108"/>
      <c r="G67" s="108">
        <f>G53+G61+G62</f>
        <v>184213</v>
      </c>
      <c r="H67" s="108">
        <f>H53+H61+H62</f>
        <v>-2786.059999999996</v>
      </c>
      <c r="J67" s="108">
        <f>G67+H67</f>
        <v>181426.94</v>
      </c>
    </row>
  </sheetData>
  <sheetProtection/>
  <protectedRanges>
    <protectedRange sqref="J4:J6" name="Omr?de13"/>
    <protectedRange sqref="D6" name="Omr?de1_1_1"/>
    <protectedRange sqref="B46:C50" name="Omr?de11_1_1_1"/>
    <protectedRange sqref="B42:C44" name="Omr?de10_1_1_1"/>
    <protectedRange sqref="B38:C40" name="Omr?de9_1_1_1"/>
    <protectedRange sqref="B34:C36" name="Omr?de8_1_1_1"/>
    <protectedRange sqref="B30:C32" name="Omr?de7_1_1_1"/>
    <protectedRange sqref="B26:C28" name="Omr?de6_1_1_1"/>
    <protectedRange sqref="B15:C17" name="Omr?de3_1_1_1"/>
    <protectedRange sqref="B19:C21" name="Omr?de4_1_1_1"/>
    <protectedRange sqref="B23:C24" name="Omr?de5_1_1_1"/>
    <protectedRange sqref="A1" name="Omr?de12"/>
  </protectedRanges>
  <mergeCells count="2">
    <mergeCell ref="A7:B7"/>
    <mergeCell ref="A54:B5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J18" sqref="J18"/>
    </sheetView>
  </sheetViews>
  <sheetFormatPr defaultColWidth="9.140625" defaultRowHeight="12.75"/>
  <cols>
    <col min="2" max="2" width="11.140625" style="0" customWidth="1"/>
    <col min="3" max="3" width="10.421875" style="0" customWidth="1"/>
    <col min="4" max="4" width="10.140625" style="0" customWidth="1"/>
    <col min="7" max="7" width="7.7109375" style="0" customWidth="1"/>
  </cols>
  <sheetData>
    <row r="1" spans="1:8" s="109" customFormat="1" ht="38.25">
      <c r="A1" s="109" t="s">
        <v>158</v>
      </c>
      <c r="B1" s="109" t="s">
        <v>159</v>
      </c>
      <c r="C1" s="109" t="s">
        <v>160</v>
      </c>
      <c r="D1" s="109" t="s">
        <v>161</v>
      </c>
      <c r="F1" s="109" t="s">
        <v>162</v>
      </c>
      <c r="G1" s="109" t="s">
        <v>163</v>
      </c>
      <c r="H1" s="109" t="s">
        <v>164</v>
      </c>
    </row>
    <row r="2" spans="1:8" ht="12.75">
      <c r="A2" s="110" t="str">
        <f>'Vandregnskab '!A15</f>
        <v>1</v>
      </c>
      <c r="B2" s="21">
        <f>Fejlopkrævning!H15</f>
        <v>-964.858734649184</v>
      </c>
      <c r="C2" s="21">
        <f>'Vandregnskab '!H15</f>
        <v>-543.0705611497615</v>
      </c>
      <c r="D2" s="21">
        <f>C2-B2</f>
        <v>421.78817349942256</v>
      </c>
      <c r="F2" s="21">
        <f>Fejlopkrævning!I15</f>
        <v>1298.2804711235985</v>
      </c>
      <c r="G2" s="21">
        <f>'Vandregnskab '!I15</f>
        <v>1309.2507767669697</v>
      </c>
      <c r="H2" s="21">
        <f>G2-F2</f>
        <v>10.970305643371148</v>
      </c>
    </row>
    <row r="3" spans="1:8" ht="12.75">
      <c r="A3" s="110" t="str">
        <f>'Vandregnskab '!A16</f>
        <v>2</v>
      </c>
      <c r="B3" s="21">
        <f>Fejlopkrævning!H16</f>
        <v>-322.952911549728</v>
      </c>
      <c r="C3" s="21">
        <f>'Vandregnskab '!H16</f>
        <v>-182.356853716587</v>
      </c>
      <c r="D3" s="21">
        <f aca="true" t="shared" si="0" ref="D3:D38">C3-B3</f>
        <v>140.596057833141</v>
      </c>
      <c r="F3" s="21">
        <f>Fejlopkrævning!I16</f>
        <v>432.76015704119953</v>
      </c>
      <c r="G3" s="21">
        <f>'Vandregnskab '!I16</f>
        <v>436.4169255889899</v>
      </c>
      <c r="H3" s="21">
        <f aca="true" t="shared" si="1" ref="H3:H38">G3-F3</f>
        <v>3.6567685477903638</v>
      </c>
    </row>
    <row r="4" spans="1:8" ht="12.75">
      <c r="A4" s="110" t="str">
        <f>'Vandregnskab '!A17</f>
        <v>3</v>
      </c>
      <c r="B4" s="21">
        <f>Fejlopkrævning!H17</f>
        <v>-1564.5165778948249</v>
      </c>
      <c r="C4" s="21">
        <f>'Vandregnskab '!H17</f>
        <v>-1827.427414866348</v>
      </c>
      <c r="D4" s="21">
        <f t="shared" si="0"/>
        <v>-262.91083697152317</v>
      </c>
      <c r="F4" s="21">
        <f>Fejlopkrævning!I17</f>
        <v>1869.5238784179821</v>
      </c>
      <c r="G4" s="21">
        <f>'Vandregnskab '!I17</f>
        <v>1745.6677023559596</v>
      </c>
      <c r="H4" s="21">
        <f t="shared" si="1"/>
        <v>-123.85617606202254</v>
      </c>
    </row>
    <row r="5" spans="1:8" ht="12.75">
      <c r="A5" s="110" t="str">
        <f>'Vandregnskab '!A18</f>
        <v>i alt</v>
      </c>
      <c r="B5" s="21">
        <f>Fejlopkrævning!H18</f>
        <v>0</v>
      </c>
      <c r="C5" s="21">
        <f>'Vandregnskab '!H18</f>
        <v>0</v>
      </c>
      <c r="D5" s="21">
        <f t="shared" si="0"/>
        <v>0</v>
      </c>
      <c r="F5" s="21">
        <f>Fejlopkrævning!I18</f>
        <v>0</v>
      </c>
      <c r="G5" s="21">
        <f>'Vandregnskab '!I18</f>
        <v>0</v>
      </c>
      <c r="H5" s="21">
        <f t="shared" si="1"/>
        <v>0</v>
      </c>
    </row>
    <row r="6" spans="1:8" ht="12.75">
      <c r="A6" s="110" t="str">
        <f>'Vandregnskab '!A19</f>
        <v>4</v>
      </c>
      <c r="B6" s="21">
        <f>Fejlopkrævning!H19</f>
        <v>784.5713609326067</v>
      </c>
      <c r="C6" s="21">
        <f>'Vandregnskab '!H19</f>
        <v>850.6771862945425</v>
      </c>
      <c r="D6" s="21">
        <f t="shared" si="0"/>
        <v>66.10582536193579</v>
      </c>
      <c r="F6" s="21">
        <f>Fejlopkrævning!I19</f>
        <v>794.7894302409773</v>
      </c>
      <c r="G6" s="21">
        <f>'Vandregnskab '!I19</f>
        <v>770.6781733858493</v>
      </c>
      <c r="H6" s="21">
        <f t="shared" si="1"/>
        <v>-24.111256855127976</v>
      </c>
    </row>
    <row r="7" spans="1:8" ht="12.75">
      <c r="A7" s="110" t="str">
        <f>'Vandregnskab '!A20</f>
        <v>5</v>
      </c>
      <c r="B7" s="21">
        <f>Fejlopkrævning!H20</f>
        <v>1804.5713609326067</v>
      </c>
      <c r="C7" s="21">
        <f>'Vandregnskab '!H20</f>
        <v>1870.6771862945425</v>
      </c>
      <c r="D7" s="21">
        <f t="shared" si="0"/>
        <v>66.10582536193579</v>
      </c>
      <c r="F7" s="21">
        <f>Fejlopkrævning!I20</f>
        <v>794.7894302409773</v>
      </c>
      <c r="G7" s="21">
        <f>'Vandregnskab '!I20</f>
        <v>770.6781733858493</v>
      </c>
      <c r="H7" s="21">
        <f t="shared" si="1"/>
        <v>-24.111256855127976</v>
      </c>
    </row>
    <row r="8" spans="1:8" ht="12.75">
      <c r="A8" s="110" t="str">
        <f>'Vandregnskab '!A21</f>
        <v>6</v>
      </c>
      <c r="B8" s="21">
        <f>Fejlopkrævning!H21</f>
        <v>1580.9084828217146</v>
      </c>
      <c r="C8" s="21">
        <f>'Vandregnskab '!H21</f>
        <v>1667.5071140458513</v>
      </c>
      <c r="D8" s="21">
        <f t="shared" si="0"/>
        <v>86.59863122413662</v>
      </c>
      <c r="F8" s="21">
        <f>Fejlopkrævning!I21</f>
        <v>1041.1741536156803</v>
      </c>
      <c r="G8" s="21">
        <f>'Vandregnskab '!I21</f>
        <v>1009.5884071354626</v>
      </c>
      <c r="H8" s="21">
        <f t="shared" si="1"/>
        <v>-31.585746480217722</v>
      </c>
    </row>
    <row r="9" spans="1:8" ht="12.75">
      <c r="A9" s="110" t="str">
        <f>'Vandregnskab '!A22</f>
        <v>i alt</v>
      </c>
      <c r="B9" s="21">
        <f>Fejlopkrævning!H22</f>
        <v>0</v>
      </c>
      <c r="C9" s="21">
        <f>'Vandregnskab '!H22</f>
        <v>0</v>
      </c>
      <c r="D9" s="21">
        <f t="shared" si="0"/>
        <v>0</v>
      </c>
      <c r="F9" s="21">
        <f>Fejlopkrævning!I22</f>
        <v>0</v>
      </c>
      <c r="G9" s="21">
        <f>'Vandregnskab '!I22</f>
        <v>0</v>
      </c>
      <c r="H9" s="21">
        <f t="shared" si="1"/>
        <v>0</v>
      </c>
    </row>
    <row r="10" spans="1:8" ht="12.75">
      <c r="A10" s="110" t="str">
        <f>'Vandregnskab '!A23</f>
        <v>7</v>
      </c>
      <c r="B10" s="21">
        <f>Fejlopkrævning!H23</f>
        <v>-559.8203832539971</v>
      </c>
      <c r="C10" s="21">
        <f>'Vandregnskab '!H23</f>
        <v>-516.5528133772732</v>
      </c>
      <c r="D10" s="21">
        <f t="shared" si="0"/>
        <v>43.26756987672388</v>
      </c>
      <c r="F10" s="21">
        <f>Fejlopkrævning!I23</f>
        <v>520.2053982678939</v>
      </c>
      <c r="G10" s="21">
        <f>'Vandregnskab '!I23</f>
        <v>504.42410387994704</v>
      </c>
      <c r="H10" s="21">
        <f t="shared" si="1"/>
        <v>-15.781294387946843</v>
      </c>
    </row>
    <row r="11" spans="1:8" ht="12.75">
      <c r="A11" s="110" t="str">
        <f>'Vandregnskab '!A24</f>
        <v>8</v>
      </c>
      <c r="B11" s="21">
        <f>Fejlopkrævning!H24</f>
        <v>1576.3592334920058</v>
      </c>
      <c r="C11" s="21">
        <f>'Vandregnskab '!H24</f>
        <v>1662.8943732454536</v>
      </c>
      <c r="D11" s="21">
        <f t="shared" si="0"/>
        <v>86.53513975344777</v>
      </c>
      <c r="F11" s="21">
        <f>Fejlopkrævning!I24</f>
        <v>1040.4107965357878</v>
      </c>
      <c r="G11" s="21">
        <f>'Vandregnskab '!I24</f>
        <v>1008.8482077598941</v>
      </c>
      <c r="H11" s="21">
        <f t="shared" si="1"/>
        <v>-31.562588775893687</v>
      </c>
    </row>
    <row r="12" spans="1:8" ht="12.75">
      <c r="A12" s="110" t="str">
        <f>'Vandregnskab '!A25</f>
        <v>i alt</v>
      </c>
      <c r="B12" s="21">
        <f>Fejlopkrævning!H25</f>
        <v>0</v>
      </c>
      <c r="C12" s="21">
        <f>'Vandregnskab '!H25</f>
        <v>0</v>
      </c>
      <c r="D12" s="21">
        <f t="shared" si="0"/>
        <v>0</v>
      </c>
      <c r="F12" s="21">
        <f>Fejlopkrævning!I25</f>
        <v>0</v>
      </c>
      <c r="G12" s="21">
        <f>'Vandregnskab '!I25</f>
        <v>0</v>
      </c>
      <c r="H12" s="21">
        <f t="shared" si="1"/>
        <v>0</v>
      </c>
    </row>
    <row r="13" spans="1:8" ht="12.75">
      <c r="A13" s="110" t="str">
        <f>'Vandregnskab '!A26</f>
        <v>9</v>
      </c>
      <c r="B13" s="21">
        <f>Fejlopkrævning!H26</f>
        <v>426.4159632206365</v>
      </c>
      <c r="C13" s="21">
        <f>'Vandregnskab '!H26</f>
        <v>538.0875007119903</v>
      </c>
      <c r="D13" s="21">
        <f t="shared" si="0"/>
        <v>111.67153749135377</v>
      </c>
      <c r="F13" s="21">
        <f>Fejlopkrævning!I26</f>
        <v>1342.6253612438024</v>
      </c>
      <c r="G13" s="21">
        <f>'Vandregnskab '!I26</f>
        <v>1301.8945919187204</v>
      </c>
      <c r="H13" s="21">
        <f t="shared" si="1"/>
        <v>-40.730769325082065</v>
      </c>
    </row>
    <row r="14" spans="1:8" ht="12.75">
      <c r="A14" s="110" t="str">
        <f>'Vandregnskab '!A27</f>
        <v>10</v>
      </c>
      <c r="B14" s="21">
        <f>Fejlopkrævning!H27</f>
        <v>318.0619724154776</v>
      </c>
      <c r="C14" s="21">
        <f>'Vandregnskab '!H27</f>
        <v>401.8156255339927</v>
      </c>
      <c r="D14" s="21">
        <f t="shared" si="0"/>
        <v>83.7536531185151</v>
      </c>
      <c r="F14" s="21">
        <f>Fejlopkrævning!I27</f>
        <v>1006.9690209328519</v>
      </c>
      <c r="G14" s="21">
        <f>'Vandregnskab '!I27</f>
        <v>976.4209439390403</v>
      </c>
      <c r="H14" s="21">
        <f t="shared" si="1"/>
        <v>-30.548076993811605</v>
      </c>
    </row>
    <row r="15" spans="1:8" ht="12.75">
      <c r="A15" s="110" t="str">
        <f>'Vandregnskab '!A28</f>
        <v>11</v>
      </c>
      <c r="B15" s="21">
        <f>Fejlopkrævning!H28</f>
        <v>-1111.2920183896817</v>
      </c>
      <c r="C15" s="21">
        <f>'Vandregnskab '!H28</f>
        <v>-1055.4562496440049</v>
      </c>
      <c r="D15" s="21">
        <f t="shared" si="0"/>
        <v>55.83576874567689</v>
      </c>
      <c r="F15" s="21">
        <f>Fejlopkrævning!I28</f>
        <v>671.3126806219012</v>
      </c>
      <c r="G15" s="21">
        <f>'Vandregnskab '!I28</f>
        <v>650.9472959593602</v>
      </c>
      <c r="H15" s="21">
        <f t="shared" si="1"/>
        <v>-20.365384662541032</v>
      </c>
    </row>
    <row r="16" spans="1:8" ht="12.75">
      <c r="A16" s="110" t="str">
        <f>'Vandregnskab '!A29</f>
        <v>i alt</v>
      </c>
      <c r="B16" s="21">
        <f>Fejlopkrævning!H29</f>
        <v>0</v>
      </c>
      <c r="C16" s="21">
        <f>'Vandregnskab '!H29</f>
        <v>0</v>
      </c>
      <c r="D16" s="21">
        <f t="shared" si="0"/>
        <v>0</v>
      </c>
      <c r="F16" s="21">
        <f>Fejlopkrævning!I29</f>
        <v>0</v>
      </c>
      <c r="G16" s="21">
        <f>'Vandregnskab '!I29</f>
        <v>0</v>
      </c>
      <c r="H16" s="21">
        <f t="shared" si="1"/>
        <v>0</v>
      </c>
    </row>
    <row r="17" spans="1:8" ht="12.75">
      <c r="A17" s="110">
        <f>'Vandregnskab '!A30</f>
        <v>12</v>
      </c>
      <c r="B17" s="21">
        <f>Fejlopkrævning!H30</f>
        <v>-1465.5550425945257</v>
      </c>
      <c r="C17" s="21">
        <f>'Vandregnskab '!H30</f>
        <v>-1344.7834807319523</v>
      </c>
      <c r="D17" s="21">
        <f t="shared" si="0"/>
        <v>120.77156186257344</v>
      </c>
      <c r="F17" s="21">
        <f>Fejlopkrævning!I30</f>
        <v>1452.0348292533226</v>
      </c>
      <c r="G17" s="21">
        <f>'Vandregnskab '!I30</f>
        <v>1407.9849420774149</v>
      </c>
      <c r="H17" s="21">
        <f t="shared" si="1"/>
        <v>-44.04988717590777</v>
      </c>
    </row>
    <row r="18" spans="1:8" ht="12.75">
      <c r="A18" s="110">
        <f>'Vandregnskab '!A31</f>
        <v>13</v>
      </c>
      <c r="B18" s="21">
        <f>Fejlopkrævning!H31</f>
        <v>-865.2775212972629</v>
      </c>
      <c r="C18" s="21">
        <f>'Vandregnskab '!H31</f>
        <v>-804.8917403659761</v>
      </c>
      <c r="D18" s="21">
        <f t="shared" si="0"/>
        <v>60.38578093128672</v>
      </c>
      <c r="F18" s="21">
        <f>Fejlopkrævning!I31</f>
        <v>726.0174146266613</v>
      </c>
      <c r="G18" s="21">
        <f>'Vandregnskab '!I31</f>
        <v>703.9924710387074</v>
      </c>
      <c r="H18" s="21">
        <f t="shared" si="1"/>
        <v>-22.024943587953885</v>
      </c>
    </row>
    <row r="19" spans="1:8" ht="12.75">
      <c r="A19" s="110">
        <f>'Vandregnskab '!A32</f>
        <v>14</v>
      </c>
      <c r="B19" s="21">
        <f>Fejlopkrævning!H32</f>
        <v>-3106.576934460465</v>
      </c>
      <c r="C19" s="21">
        <f>'Vandregnskab '!H32</f>
        <v>-2973.426287506976</v>
      </c>
      <c r="D19" s="21">
        <f t="shared" si="0"/>
        <v>133.15064695348883</v>
      </c>
      <c r="F19" s="21">
        <f>Fejlopkrævning!I32</f>
        <v>1600.868399251788</v>
      </c>
      <c r="G19" s="21">
        <f>'Vandregnskab '!I32</f>
        <v>1552.3033986403502</v>
      </c>
      <c r="H19" s="21">
        <f t="shared" si="1"/>
        <v>-48.56500061143788</v>
      </c>
    </row>
    <row r="20" spans="1:8" ht="12.75">
      <c r="A20" s="110" t="str">
        <f>'Vandregnskab '!A33</f>
        <v>i alt</v>
      </c>
      <c r="B20" s="21">
        <f>Fejlopkrævning!H33</f>
        <v>0</v>
      </c>
      <c r="C20" s="21">
        <f>'Vandregnskab '!H33</f>
        <v>0</v>
      </c>
      <c r="D20" s="21">
        <f t="shared" si="0"/>
        <v>0</v>
      </c>
      <c r="F20" s="21">
        <f>Fejlopkrævning!I33</f>
        <v>0</v>
      </c>
      <c r="G20" s="21">
        <f>'Vandregnskab '!I33</f>
        <v>0</v>
      </c>
      <c r="H20" s="21">
        <f t="shared" si="1"/>
        <v>0</v>
      </c>
    </row>
    <row r="21" spans="1:8" ht="12.75">
      <c r="A21" s="110" t="str">
        <f>'Vandregnskab '!A34</f>
        <v>15</v>
      </c>
      <c r="B21" s="21">
        <f>Fejlopkrævning!H34</f>
        <v>-824.5594922494811</v>
      </c>
      <c r="C21" s="21">
        <f>'Vandregnskab '!H34</f>
        <v>-752.8589478823387</v>
      </c>
      <c r="D21" s="21">
        <f t="shared" si="0"/>
        <v>71.70054436714236</v>
      </c>
      <c r="F21" s="21">
        <f>Fejlopkrævning!I34</f>
        <v>862.0546599867956</v>
      </c>
      <c r="G21" s="21">
        <f>'Vandregnskab '!I34</f>
        <v>835.9028007153407</v>
      </c>
      <c r="H21" s="21">
        <f t="shared" si="1"/>
        <v>-26.151859271454896</v>
      </c>
    </row>
    <row r="22" spans="1:8" ht="12.75">
      <c r="A22" s="110" t="str">
        <f>'Vandregnskab '!A35</f>
        <v>16</v>
      </c>
      <c r="B22" s="21">
        <f>Fejlopkrævning!H35</f>
        <v>-824.5594922494811</v>
      </c>
      <c r="C22" s="21">
        <f>'Vandregnskab '!H35</f>
        <v>-752.8589478823387</v>
      </c>
      <c r="D22" s="21">
        <f t="shared" si="0"/>
        <v>71.70054436714236</v>
      </c>
      <c r="F22" s="21">
        <f>Fejlopkrævning!I35</f>
        <v>862.0546599867956</v>
      </c>
      <c r="G22" s="21">
        <f>'Vandregnskab '!I35</f>
        <v>835.9028007153407</v>
      </c>
      <c r="H22" s="21">
        <f t="shared" si="1"/>
        <v>-26.151859271454896</v>
      </c>
    </row>
    <row r="23" spans="1:8" ht="12.75">
      <c r="A23" s="110" t="str">
        <f>'Vandregnskab '!A36</f>
        <v>17</v>
      </c>
      <c r="B23" s="21">
        <f>Fejlopkrævning!H36</f>
        <v>-824.5594922494811</v>
      </c>
      <c r="C23" s="21">
        <f>'Vandregnskab '!H36</f>
        <v>-752.8589478823387</v>
      </c>
      <c r="D23" s="21">
        <f t="shared" si="0"/>
        <v>71.70054436714236</v>
      </c>
      <c r="F23" s="21">
        <f>Fejlopkrævning!I36</f>
        <v>862.0546599867956</v>
      </c>
      <c r="G23" s="21">
        <f>'Vandregnskab '!I36</f>
        <v>835.9028007153407</v>
      </c>
      <c r="H23" s="21">
        <f t="shared" si="1"/>
        <v>-26.151859271454896</v>
      </c>
    </row>
    <row r="24" spans="1:8" ht="12.75">
      <c r="A24" s="110" t="str">
        <f>'Vandregnskab '!A37</f>
        <v>i alt</v>
      </c>
      <c r="B24" s="21">
        <f>Fejlopkrævning!H37</f>
        <v>0</v>
      </c>
      <c r="C24" s="21">
        <f>'Vandregnskab '!H37</f>
        <v>0</v>
      </c>
      <c r="D24" s="21">
        <f t="shared" si="0"/>
        <v>0</v>
      </c>
      <c r="F24" s="21">
        <f>Fejlopkrævning!I37</f>
        <v>0</v>
      </c>
      <c r="G24" s="21">
        <f>'Vandregnskab '!I37</f>
        <v>0</v>
      </c>
      <c r="H24" s="21">
        <f t="shared" si="1"/>
        <v>0</v>
      </c>
    </row>
    <row r="25" spans="1:8" ht="12.75">
      <c r="A25" s="110" t="str">
        <f>'Vandregnskab '!A38</f>
        <v>18</v>
      </c>
      <c r="B25" s="21">
        <f>Fejlopkrævning!H38</f>
        <v>345.16594870692734</v>
      </c>
      <c r="C25" s="21">
        <f>'Vandregnskab '!H38</f>
        <v>422.9058135550149</v>
      </c>
      <c r="D25" s="21">
        <f t="shared" si="0"/>
        <v>77.73986484808756</v>
      </c>
      <c r="F25" s="21">
        <f>Fejlopkrævning!I38</f>
        <v>934.6653271679614</v>
      </c>
      <c r="G25" s="21">
        <f>'Vandregnskab '!I38</f>
        <v>906.3107027612226</v>
      </c>
      <c r="H25" s="21">
        <f t="shared" si="1"/>
        <v>-28.35462440673882</v>
      </c>
    </row>
    <row r="26" spans="1:8" ht="12.75">
      <c r="A26" s="110" t="str">
        <f>'Vandregnskab '!A39</f>
        <v>19</v>
      </c>
      <c r="B26" s="21">
        <f>Fejlopkrævning!H39</f>
        <v>29.132758965542052</v>
      </c>
      <c r="C26" s="21">
        <f>'Vandregnskab '!H39</f>
        <v>91.32465084401156</v>
      </c>
      <c r="D26" s="21">
        <f t="shared" si="0"/>
        <v>62.191891878469505</v>
      </c>
      <c r="F26" s="21">
        <f>Fejlopkrævning!I39</f>
        <v>747.7322617343692</v>
      </c>
      <c r="G26" s="21">
        <f>'Vandregnskab '!I39</f>
        <v>725.0485622089781</v>
      </c>
      <c r="H26" s="21">
        <f t="shared" si="1"/>
        <v>-22.683699525391148</v>
      </c>
    </row>
    <row r="27" spans="1:8" ht="12.75">
      <c r="A27" s="110" t="str">
        <f>'Vandregnskab '!A40</f>
        <v>20</v>
      </c>
      <c r="B27" s="21">
        <f>Fejlopkrævning!H40</f>
        <v>-810.6803700671971</v>
      </c>
      <c r="C27" s="21">
        <f>'Vandregnskab '!H40</f>
        <v>-698.4240052265595</v>
      </c>
      <c r="D27" s="21">
        <f t="shared" si="0"/>
        <v>112.25636484063762</v>
      </c>
      <c r="F27" s="21">
        <f>Fejlopkrævning!I40</f>
        <v>1349.6567324305365</v>
      </c>
      <c r="G27" s="21">
        <f>'Vandregnskab '!I40</f>
        <v>1308.7126547872053</v>
      </c>
      <c r="H27" s="21">
        <f t="shared" si="1"/>
        <v>-40.944077643331184</v>
      </c>
    </row>
    <row r="28" spans="1:8" ht="12.75">
      <c r="A28" s="110" t="str">
        <f>'Vandregnskab '!A41</f>
        <v>i alt</v>
      </c>
      <c r="B28" s="21">
        <f>Fejlopkrævning!H41</f>
        <v>0</v>
      </c>
      <c r="C28" s="21">
        <f>'Vandregnskab '!H41</f>
        <v>0</v>
      </c>
      <c r="D28" s="21">
        <f t="shared" si="0"/>
        <v>0</v>
      </c>
      <c r="F28" s="21">
        <f>Fejlopkrævning!I41</f>
        <v>0</v>
      </c>
      <c r="G28" s="21">
        <f>'Vandregnskab '!I41</f>
        <v>0</v>
      </c>
      <c r="H28" s="21">
        <f t="shared" si="1"/>
        <v>0</v>
      </c>
    </row>
    <row r="29" spans="1:8" ht="12.75">
      <c r="A29" s="110" t="str">
        <f>'Vandregnskab '!A42</f>
        <v>21</v>
      </c>
      <c r="B29" s="21">
        <f>Fejlopkrævning!H42</f>
        <v>1170.2034590417834</v>
      </c>
      <c r="C29" s="21">
        <f>'Vandregnskab '!H42</f>
        <v>1269.799682483409</v>
      </c>
      <c r="D29" s="21">
        <f t="shared" si="0"/>
        <v>99.59622344162563</v>
      </c>
      <c r="F29" s="21">
        <f>Fejlopkrævning!I42</f>
        <v>1197.4440263006545</v>
      </c>
      <c r="G29" s="21">
        <f>'Vandregnskab '!I42</f>
        <v>1161.117573797354</v>
      </c>
      <c r="H29" s="21">
        <f t="shared" si="1"/>
        <v>-36.326452503300516</v>
      </c>
    </row>
    <row r="30" spans="1:8" ht="12.75">
      <c r="A30" s="110" t="str">
        <f>'Vandregnskab '!A43</f>
        <v>22</v>
      </c>
      <c r="B30" s="21">
        <f>Fejlopkrævning!H43</f>
        <v>582.1017295208917</v>
      </c>
      <c r="C30" s="21">
        <f>'Vandregnskab '!H43</f>
        <v>631.8998412417045</v>
      </c>
      <c r="D30" s="21">
        <f t="shared" si="0"/>
        <v>49.79811172081281</v>
      </c>
      <c r="F30" s="21">
        <f>Fejlopkrævning!I43</f>
        <v>598.7220131503273</v>
      </c>
      <c r="G30" s="21">
        <f>'Vandregnskab '!I43</f>
        <v>580.558786898677</v>
      </c>
      <c r="H30" s="21">
        <f t="shared" si="1"/>
        <v>-18.163226251650258</v>
      </c>
    </row>
    <row r="31" spans="1:8" ht="12.75">
      <c r="A31" s="110" t="str">
        <f>'Vandregnskab '!A44</f>
        <v>23</v>
      </c>
      <c r="B31" s="21">
        <f>Fejlopkrævning!H44</f>
        <v>981.2866532535108</v>
      </c>
      <c r="C31" s="21">
        <f>'Vandregnskab '!H44</f>
        <v>1043.285302345923</v>
      </c>
      <c r="D31" s="21">
        <f t="shared" si="0"/>
        <v>61.99864909241205</v>
      </c>
      <c r="F31" s="21">
        <f>Fejlopkrævning!I44</f>
        <v>745.4089063721575</v>
      </c>
      <c r="G31" s="21">
        <f>'Vandregnskab '!I44</f>
        <v>722.795689688853</v>
      </c>
      <c r="H31" s="21">
        <f t="shared" si="1"/>
        <v>-22.613216683304472</v>
      </c>
    </row>
    <row r="32" spans="1:8" ht="12.75">
      <c r="A32" s="110" t="str">
        <f>'Vandregnskab '!A45</f>
        <v>i alt</v>
      </c>
      <c r="B32" s="21">
        <f>Fejlopkrævning!H45</f>
        <v>0</v>
      </c>
      <c r="C32" s="21">
        <f>'Vandregnskab '!H45</f>
        <v>0</v>
      </c>
      <c r="D32" s="21">
        <f t="shared" si="0"/>
        <v>0</v>
      </c>
      <c r="F32" s="21">
        <f>Fejlopkrævning!I45</f>
        <v>0</v>
      </c>
      <c r="G32" s="21">
        <f>'Vandregnskab '!I45</f>
        <v>0</v>
      </c>
      <c r="H32" s="21">
        <f t="shared" si="1"/>
        <v>0</v>
      </c>
    </row>
    <row r="33" spans="1:8" ht="12.75">
      <c r="A33" s="110" t="str">
        <f>'Vandregnskab '!A46</f>
        <v>24</v>
      </c>
      <c r="B33" s="21">
        <f>Fejlopkrævning!H46</f>
        <v>36.99135884291536</v>
      </c>
      <c r="C33" s="21">
        <f>'Vandregnskab '!H46</f>
        <v>77.92557048700155</v>
      </c>
      <c r="D33" s="21">
        <f t="shared" si="0"/>
        <v>40.93421164408619</v>
      </c>
      <c r="F33" s="21">
        <f>Fejlopkrævning!I46</f>
        <v>492.15146428987543</v>
      </c>
      <c r="G33" s="21">
        <f>'Vandregnskab '!I46</f>
        <v>477.22123256356423</v>
      </c>
      <c r="H33" s="21">
        <f t="shared" si="1"/>
        <v>-14.930231726311206</v>
      </c>
    </row>
    <row r="34" spans="1:8" ht="12.75">
      <c r="A34" s="110" t="str">
        <f>'Vandregnskab '!A47</f>
        <v>25</v>
      </c>
      <c r="B34" s="21">
        <f>Fejlopkrævning!H47</f>
        <v>-374.33284474551374</v>
      </c>
      <c r="C34" s="21">
        <f>'Vandregnskab '!H47</f>
        <v>-342.67025521786854</v>
      </c>
      <c r="D34" s="21">
        <f t="shared" si="0"/>
        <v>31.662589527645196</v>
      </c>
      <c r="F34" s="21">
        <f>Fejlopkrævning!I47</f>
        <v>380.67887894675533</v>
      </c>
      <c r="G34" s="21">
        <f>'Vandregnskab '!I47</f>
        <v>369.1303531607184</v>
      </c>
      <c r="H34" s="21">
        <f t="shared" si="1"/>
        <v>-11.548525786036919</v>
      </c>
    </row>
    <row r="35" spans="1:8" ht="12.75">
      <c r="A35" s="110" t="str">
        <f>'Vandregnskab '!A48</f>
        <v>i alt</v>
      </c>
      <c r="B35" s="21">
        <f>Fejlopkrævning!H48</f>
        <v>0</v>
      </c>
      <c r="C35" s="21">
        <f>'Vandregnskab '!H48</f>
        <v>0</v>
      </c>
      <c r="D35" s="21">
        <f t="shared" si="0"/>
        <v>0</v>
      </c>
      <c r="F35" s="21">
        <f>Fejlopkrævning!I48</f>
        <v>0</v>
      </c>
      <c r="G35" s="21">
        <f>'Vandregnskab '!I48</f>
        <v>0</v>
      </c>
      <c r="H35" s="21">
        <f t="shared" si="1"/>
        <v>0</v>
      </c>
    </row>
    <row r="36" spans="1:8" ht="12.75">
      <c r="A36" s="110" t="str">
        <f>'Vandregnskab '!A49</f>
        <v>26A</v>
      </c>
      <c r="B36" s="21">
        <f>Fejlopkrævning!H49</f>
        <v>-366.9998312090088</v>
      </c>
      <c r="C36" s="21">
        <f>'Vandregnskab '!H49</f>
        <v>-322.7578127557831</v>
      </c>
      <c r="D36" s="21">
        <f t="shared" si="0"/>
        <v>44.24201845322568</v>
      </c>
      <c r="F36" s="21">
        <f>Fejlopkrævning!I49</f>
        <v>531.9211801173245</v>
      </c>
      <c r="G36" s="21">
        <f>'Vandregnskab '!I49</f>
        <v>515.7844680367384</v>
      </c>
      <c r="H36" s="21">
        <f t="shared" si="1"/>
        <v>-16.136712080586108</v>
      </c>
    </row>
    <row r="37" spans="1:8" ht="12.75">
      <c r="A37" s="110" t="str">
        <f>'Vandregnskab '!A50</f>
        <v>26C</v>
      </c>
      <c r="B37" s="21">
        <f>Fejlopkrævning!H50</f>
        <v>764.5546235927504</v>
      </c>
      <c r="C37" s="21">
        <f>'Vandregnskab '!H50</f>
        <v>871.1618969740175</v>
      </c>
      <c r="D37" s="21">
        <f t="shared" si="0"/>
        <v>106.60727338126708</v>
      </c>
      <c r="F37" s="21">
        <f>Fejlopkrævning!I50</f>
        <v>1281.7377834152396</v>
      </c>
      <c r="G37" s="21">
        <f>'Vandregnskab '!I50</f>
        <v>1242.8541398475625</v>
      </c>
      <c r="H37" s="21">
        <f t="shared" si="1"/>
        <v>-38.883643567677154</v>
      </c>
    </row>
    <row r="38" spans="1:8" ht="12.75">
      <c r="A38" s="112" t="str">
        <f>'Vandregnskab '!A51</f>
        <v>i alt</v>
      </c>
      <c r="B38" s="113">
        <f>Fejlopkrævning!H51</f>
        <v>0</v>
      </c>
      <c r="C38" s="113">
        <f>'Vandregnskab '!H51</f>
        <v>0</v>
      </c>
      <c r="D38" s="113">
        <f t="shared" si="0"/>
        <v>0</v>
      </c>
      <c r="E38" s="92"/>
      <c r="F38" s="113">
        <f>Fejlopkrævning!I51</f>
        <v>0</v>
      </c>
      <c r="G38" s="113">
        <f>'Vandregnskab '!I51</f>
        <v>0</v>
      </c>
      <c r="H38" s="113">
        <f t="shared" si="1"/>
        <v>0</v>
      </c>
    </row>
    <row r="39" spans="1:8" ht="12.75">
      <c r="A39" s="110"/>
      <c r="B39" s="21"/>
      <c r="C39" s="21"/>
      <c r="D39" s="21"/>
      <c r="F39" s="21"/>
      <c r="G39" s="21"/>
      <c r="H39" s="21"/>
    </row>
    <row r="40" spans="1:8" ht="12.75">
      <c r="A40" s="111" t="s">
        <v>165</v>
      </c>
      <c r="B40" s="21">
        <f>SUM(B2:B39)</f>
        <v>-3586.2167411204628</v>
      </c>
      <c r="C40" s="21">
        <f aca="true" t="shared" si="2" ref="C40:H40">SUM(C2:C39)</f>
        <v>-1470.4325741486523</v>
      </c>
      <c r="D40" s="21">
        <f t="shared" si="2"/>
        <v>2115.7841669718114</v>
      </c>
      <c r="E40" s="21"/>
      <c r="F40" s="21">
        <f t="shared" si="2"/>
        <v>25438.043975300014</v>
      </c>
      <c r="G40" s="21">
        <f t="shared" si="2"/>
        <v>24666.33867972941</v>
      </c>
      <c r="H40" s="21">
        <f t="shared" si="2"/>
        <v>-771.7052955706018</v>
      </c>
    </row>
    <row r="41" spans="1:8" ht="12.75">
      <c r="A41" s="110"/>
      <c r="B41" s="21"/>
      <c r="C41" s="21"/>
      <c r="D41" s="21"/>
      <c r="F41" s="21"/>
      <c r="G41" s="21"/>
      <c r="H41" s="21"/>
    </row>
    <row r="42" spans="1:8" ht="12.75">
      <c r="A42" s="110"/>
      <c r="B42" s="21"/>
      <c r="C42" s="21"/>
      <c r="D42" s="21"/>
      <c r="F42" s="21"/>
      <c r="G42" s="21"/>
      <c r="H42" s="21"/>
    </row>
    <row r="43" spans="1:8" ht="12.75">
      <c r="A43" s="110"/>
      <c r="B43" s="21"/>
      <c r="C43" s="21"/>
      <c r="D43" s="21"/>
      <c r="F43" s="21"/>
      <c r="G43" s="21"/>
      <c r="H43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2" width="10.140625" style="0" bestFit="1" customWidth="1"/>
    <col min="4" max="4" width="8.8515625" style="0" bestFit="1" customWidth="1"/>
  </cols>
  <sheetData>
    <row r="1" ht="12.75">
      <c r="F1" s="116" t="s">
        <v>146</v>
      </c>
    </row>
    <row r="2" ht="12.75">
      <c r="F2" s="117"/>
    </row>
    <row r="3" ht="12.75">
      <c r="F3" s="21"/>
    </row>
    <row r="4" spans="1:6" s="43" customFormat="1" ht="12.75">
      <c r="A4" s="43" t="s">
        <v>145</v>
      </c>
      <c r="D4" s="106">
        <f>SUM(D7:D8)</f>
        <v>2.6164383561643834</v>
      </c>
      <c r="F4" s="21"/>
    </row>
    <row r="5" spans="4:6" s="43" customFormat="1" ht="12.75">
      <c r="D5" s="106"/>
      <c r="F5" s="21"/>
    </row>
    <row r="6" spans="1:6" ht="12.75">
      <c r="A6" t="s">
        <v>147</v>
      </c>
      <c r="B6" t="s">
        <v>148</v>
      </c>
      <c r="C6" s="4" t="s">
        <v>24</v>
      </c>
      <c r="D6" s="48" t="s">
        <v>149</v>
      </c>
      <c r="F6" s="43"/>
    </row>
    <row r="7" spans="1:6" ht="12.75">
      <c r="A7" s="62">
        <v>40909</v>
      </c>
      <c r="B7" s="62">
        <v>40939</v>
      </c>
      <c r="C7">
        <v>4</v>
      </c>
      <c r="D7" s="60">
        <f>C7*(B7-A7)/365</f>
        <v>0.3287671232876712</v>
      </c>
      <c r="E7" s="34" t="s">
        <v>150</v>
      </c>
      <c r="F7" s="21">
        <f>'Vandregnskab '!H$21*D7/D$4</f>
        <v>209.52968972303893</v>
      </c>
    </row>
    <row r="8" spans="1:6" ht="12.75">
      <c r="A8" s="62">
        <v>40940</v>
      </c>
      <c r="B8" s="62">
        <v>41274</v>
      </c>
      <c r="C8">
        <v>2.5</v>
      </c>
      <c r="D8" s="60">
        <f>C8*(B8-A8)/365</f>
        <v>2.287671232876712</v>
      </c>
      <c r="E8" s="34" t="s">
        <v>151</v>
      </c>
      <c r="F8" s="21">
        <f>'Vandregnskab '!H$21*D8/D$4</f>
        <v>1457.9774243228123</v>
      </c>
    </row>
    <row r="9" spans="1:6" ht="12.75">
      <c r="A9" s="62"/>
      <c r="B9" s="62"/>
      <c r="F9" s="21">
        <f>SUM(F7:F8)</f>
        <v>1667.5071140458513</v>
      </c>
    </row>
    <row r="10" spans="1:6" ht="12.75">
      <c r="A10" s="43" t="s">
        <v>152</v>
      </c>
      <c r="B10" s="43"/>
      <c r="C10" s="43"/>
      <c r="D10" s="106">
        <f>SUM(D13:D14)</f>
        <v>4.405479452054794</v>
      </c>
      <c r="F10" s="21"/>
    </row>
    <row r="11" spans="1:6" ht="12.75">
      <c r="A11" s="43"/>
      <c r="B11" s="43"/>
      <c r="C11" s="43"/>
      <c r="D11" s="106"/>
      <c r="F11" s="21"/>
    </row>
    <row r="12" spans="1:6" ht="12.75">
      <c r="A12" t="s">
        <v>147</v>
      </c>
      <c r="B12" t="s">
        <v>148</v>
      </c>
      <c r="C12" s="4" t="s">
        <v>24</v>
      </c>
      <c r="D12" s="48" t="s">
        <v>149</v>
      </c>
      <c r="F12" s="21"/>
    </row>
    <row r="13" spans="1:6" ht="12.75">
      <c r="A13" s="62">
        <v>40909</v>
      </c>
      <c r="B13" s="62">
        <v>41121</v>
      </c>
      <c r="C13">
        <v>4</v>
      </c>
      <c r="D13" s="60">
        <f>C13*(B13-A13)/365</f>
        <v>2.3232876712328765</v>
      </c>
      <c r="E13" s="34"/>
      <c r="F13" s="21"/>
    </row>
    <row r="14" spans="1:6" ht="12.75">
      <c r="A14" s="62">
        <v>41122</v>
      </c>
      <c r="B14" s="62">
        <v>41274</v>
      </c>
      <c r="C14">
        <v>5</v>
      </c>
      <c r="D14" s="60">
        <f>C14*(B14-A14)/365</f>
        <v>2.0821917808219177</v>
      </c>
      <c r="E14" s="34"/>
      <c r="F14" s="21"/>
    </row>
    <row r="15" ht="12.75">
      <c r="F15" s="21"/>
    </row>
    <row r="16" spans="1:6" ht="12.75">
      <c r="A16" s="43" t="s">
        <v>154</v>
      </c>
      <c r="B16" s="43"/>
      <c r="C16" s="43"/>
      <c r="D16" s="106">
        <f>SUM(D19:D20)</f>
        <v>3.6136986301369864</v>
      </c>
      <c r="F16" s="21"/>
    </row>
    <row r="17" spans="1:6" ht="12.75">
      <c r="A17" s="43"/>
      <c r="B17" s="43"/>
      <c r="C17" s="43"/>
      <c r="D17" s="106"/>
      <c r="F17" s="21"/>
    </row>
    <row r="18" spans="1:6" ht="12.75">
      <c r="A18" t="s">
        <v>147</v>
      </c>
      <c r="B18" t="s">
        <v>148</v>
      </c>
      <c r="C18" s="4" t="s">
        <v>24</v>
      </c>
      <c r="D18" s="48" t="s">
        <v>149</v>
      </c>
      <c r="F18" s="21"/>
    </row>
    <row r="19" spans="1:6" ht="12.75">
      <c r="A19" s="62">
        <v>40909</v>
      </c>
      <c r="B19" s="62">
        <v>41136</v>
      </c>
      <c r="C19">
        <v>4</v>
      </c>
      <c r="D19" s="60">
        <f>C19*(B19-A19)/365</f>
        <v>2.4876712328767123</v>
      </c>
      <c r="E19" s="34"/>
      <c r="F19" s="21"/>
    </row>
    <row r="20" spans="1:6" ht="12.75">
      <c r="A20" s="62">
        <v>41137</v>
      </c>
      <c r="B20" s="62">
        <v>41274</v>
      </c>
      <c r="C20">
        <v>3</v>
      </c>
      <c r="D20" s="60">
        <f>C20*(B20-A20)/365</f>
        <v>1.126027397260274</v>
      </c>
      <c r="E20" s="34"/>
      <c r="F20" s="21"/>
    </row>
    <row r="21" ht="12.75">
      <c r="F21" s="21"/>
    </row>
    <row r="22" spans="1:6" ht="12.75">
      <c r="A22" s="43" t="s">
        <v>153</v>
      </c>
      <c r="B22" s="43"/>
      <c r="C22" s="43"/>
      <c r="D22" s="106">
        <f>SUM(D25:D26)</f>
        <v>2.4876712328767123</v>
      </c>
      <c r="F22" s="21"/>
    </row>
    <row r="23" spans="1:6" ht="12.75">
      <c r="A23" s="43"/>
      <c r="B23" s="43"/>
      <c r="C23" s="43"/>
      <c r="D23" s="106"/>
      <c r="F23" s="21"/>
    </row>
    <row r="24" spans="1:6" ht="12.75">
      <c r="A24" t="s">
        <v>147</v>
      </c>
      <c r="B24" t="s">
        <v>148</v>
      </c>
      <c r="C24" s="4" t="s">
        <v>24</v>
      </c>
      <c r="D24" s="48" t="s">
        <v>149</v>
      </c>
      <c r="F24" s="21"/>
    </row>
    <row r="25" spans="1:6" ht="12.75">
      <c r="A25" s="62">
        <v>40909</v>
      </c>
      <c r="B25" s="62">
        <v>40999</v>
      </c>
      <c r="C25">
        <v>4</v>
      </c>
      <c r="D25" s="60">
        <f>C25*(B25-A25)/365</f>
        <v>0.9863013698630136</v>
      </c>
      <c r="E25" s="34" t="s">
        <v>150</v>
      </c>
      <c r="F25" s="21">
        <f>'Vandregnskab '!H$44*D25/D$4</f>
        <v>393.28032339741594</v>
      </c>
    </row>
    <row r="26" spans="1:6" ht="12.75">
      <c r="A26" s="62">
        <v>41000</v>
      </c>
      <c r="B26" s="62">
        <v>41274</v>
      </c>
      <c r="C26">
        <v>2</v>
      </c>
      <c r="D26" s="60">
        <f>C26*(B26-A26)/365</f>
        <v>1.5013698630136987</v>
      </c>
      <c r="E26" s="34" t="s">
        <v>151</v>
      </c>
      <c r="F26" s="21">
        <f>'Vandregnskab '!H$44*D26/D$4</f>
        <v>598.6600478382887</v>
      </c>
    </row>
    <row r="27" ht="12.75">
      <c r="F27" s="21">
        <f>SUM(F25:F26)</f>
        <v>991.9403712357047</v>
      </c>
    </row>
    <row r="28" spans="1:6" ht="12.75">
      <c r="A28" s="43"/>
      <c r="B28" s="43"/>
      <c r="C28" s="43"/>
      <c r="D28" s="106"/>
      <c r="F28" s="21"/>
    </row>
    <row r="29" spans="1:6" ht="12.75">
      <c r="A29" s="43" t="s">
        <v>155</v>
      </c>
      <c r="B29" s="43"/>
      <c r="C29" s="43"/>
      <c r="D29" s="106">
        <f>SUM(D32:D36)</f>
        <v>1.6630136986301367</v>
      </c>
      <c r="F29" s="21"/>
    </row>
    <row r="30" spans="1:6" ht="12.75">
      <c r="A30" s="43"/>
      <c r="B30" s="43"/>
      <c r="C30" s="43"/>
      <c r="D30" s="106"/>
      <c r="F30" s="21"/>
    </row>
    <row r="31" spans="1:6" ht="12.75">
      <c r="A31" t="s">
        <v>147</v>
      </c>
      <c r="B31" t="s">
        <v>148</v>
      </c>
      <c r="C31" s="4" t="s">
        <v>24</v>
      </c>
      <c r="D31" s="48" t="s">
        <v>149</v>
      </c>
      <c r="F31" s="21"/>
    </row>
    <row r="32" spans="1:6" ht="12.75">
      <c r="A32" s="62">
        <v>40909</v>
      </c>
      <c r="B32" s="62">
        <v>41059</v>
      </c>
      <c r="C32">
        <v>2</v>
      </c>
      <c r="D32" s="60">
        <f>C32*(B32-A32)/365</f>
        <v>0.821917808219178</v>
      </c>
      <c r="E32" s="34"/>
      <c r="F32" s="21"/>
    </row>
    <row r="33" spans="1:6" ht="12.75">
      <c r="A33" s="62">
        <v>41061</v>
      </c>
      <c r="B33" s="62">
        <v>41135</v>
      </c>
      <c r="C33">
        <v>1.5</v>
      </c>
      <c r="D33" s="60">
        <f>C33*(B33-A33)/365</f>
        <v>0.3041095890410959</v>
      </c>
      <c r="E33" s="34"/>
      <c r="F33" s="21"/>
    </row>
    <row r="34" spans="1:6" ht="12.75">
      <c r="A34" s="62">
        <v>41136</v>
      </c>
      <c r="B34" s="62">
        <v>41182</v>
      </c>
      <c r="C34">
        <v>1</v>
      </c>
      <c r="D34" s="60">
        <f>C34*(B34-A34)/365</f>
        <v>0.12602739726027398</v>
      </c>
      <c r="F34" s="21"/>
    </row>
    <row r="35" spans="1:4" ht="12.75">
      <c r="A35" s="62">
        <v>41183</v>
      </c>
      <c r="B35" s="62">
        <v>41243</v>
      </c>
      <c r="C35">
        <v>2</v>
      </c>
      <c r="D35" s="60">
        <f>C35*(B35-A35)/365</f>
        <v>0.3287671232876712</v>
      </c>
    </row>
    <row r="36" spans="1:4" ht="12.75">
      <c r="A36" s="62">
        <v>41244</v>
      </c>
      <c r="B36" s="62">
        <v>41274</v>
      </c>
      <c r="C36">
        <v>1</v>
      </c>
      <c r="D36" s="60">
        <f>C36*(B36-A36)/365</f>
        <v>0.0821917808219178</v>
      </c>
    </row>
  </sheetData>
  <sheetProtection/>
  <mergeCells count="1">
    <mergeCell ref="F1:F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19.8515625" style="0" customWidth="1"/>
    <col min="2" max="2" width="2.7109375" style="0" customWidth="1"/>
    <col min="3" max="4" width="12.7109375" style="0" customWidth="1"/>
    <col min="5" max="5" width="13.7109375" style="0" customWidth="1"/>
    <col min="6" max="6" width="15.8515625" style="0" customWidth="1"/>
    <col min="9" max="9" width="8.57421875" style="0" customWidth="1"/>
    <col min="10" max="10" width="8.421875" style="0" customWidth="1"/>
  </cols>
  <sheetData>
    <row r="1" ht="18">
      <c r="A1" s="96" t="s">
        <v>169</v>
      </c>
    </row>
    <row r="2" ht="13.5" thickBot="1"/>
    <row r="3" spans="1:10" ht="12.75">
      <c r="A3" s="49"/>
      <c r="B3" s="50"/>
      <c r="C3" s="77" t="s">
        <v>61</v>
      </c>
      <c r="D3" s="77" t="s">
        <v>61</v>
      </c>
      <c r="E3" s="77" t="s">
        <v>55</v>
      </c>
      <c r="F3" s="77" t="s">
        <v>62</v>
      </c>
      <c r="G3" s="51"/>
      <c r="H3" s="51"/>
      <c r="J3" s="52"/>
    </row>
    <row r="4" spans="1:6" ht="12.75">
      <c r="A4" s="53"/>
      <c r="B4" s="54"/>
      <c r="C4" s="85">
        <v>40909</v>
      </c>
      <c r="D4" s="85">
        <v>41275</v>
      </c>
      <c r="E4" s="78"/>
      <c r="F4" s="78" t="s">
        <v>45</v>
      </c>
    </row>
    <row r="5" spans="1:6" ht="12.75">
      <c r="A5" s="55"/>
      <c r="B5" s="56"/>
      <c r="C5" s="79"/>
      <c r="D5" s="79"/>
      <c r="E5" s="56"/>
      <c r="F5" s="57"/>
    </row>
    <row r="6" spans="1:8" ht="12.75">
      <c r="A6" s="58" t="s">
        <v>63</v>
      </c>
      <c r="B6" s="56"/>
      <c r="C6" s="86">
        <v>8259</v>
      </c>
      <c r="D6" s="86">
        <v>11116</v>
      </c>
      <c r="E6" s="59">
        <f>D6-C6+G6</f>
        <v>2857</v>
      </c>
      <c r="F6" s="57">
        <f>(D6-C6+G6)/(D$4-C$4)</f>
        <v>7.806010928961749</v>
      </c>
      <c r="G6" s="59"/>
      <c r="H6" s="60"/>
    </row>
    <row r="7" spans="1:9" ht="12.75">
      <c r="A7" s="73" t="s">
        <v>64</v>
      </c>
      <c r="B7" s="56"/>
      <c r="C7" s="86">
        <v>2231</v>
      </c>
      <c r="D7" s="86">
        <v>2357</v>
      </c>
      <c r="E7" s="56">
        <f>D7-C7</f>
        <v>126</v>
      </c>
      <c r="F7" s="61">
        <f>(D7-C7)/(D$4-C$4)</f>
        <v>0.3442622950819672</v>
      </c>
      <c r="H7" s="60"/>
      <c r="I7" s="62"/>
    </row>
    <row r="8" spans="1:8" ht="12.75">
      <c r="A8" s="74" t="s">
        <v>65</v>
      </c>
      <c r="B8" s="53"/>
      <c r="C8" s="81"/>
      <c r="D8" s="81"/>
      <c r="E8" s="53">
        <f>E6-E7</f>
        <v>2731</v>
      </c>
      <c r="F8" s="61">
        <f>F6-F7</f>
        <v>7.461748633879782</v>
      </c>
      <c r="H8" s="60" t="s">
        <v>66</v>
      </c>
    </row>
    <row r="9" spans="1:8" ht="12.75">
      <c r="A9" s="73"/>
      <c r="B9" s="56"/>
      <c r="C9" s="80"/>
      <c r="D9" s="80"/>
      <c r="E9" s="56"/>
      <c r="F9" s="57"/>
      <c r="H9" s="60"/>
    </row>
    <row r="10" spans="1:8" ht="12.75">
      <c r="A10" s="73" t="s">
        <v>67</v>
      </c>
      <c r="B10" s="56"/>
      <c r="C10" s="80"/>
      <c r="D10" s="80"/>
      <c r="E10" s="56"/>
      <c r="F10" s="57"/>
      <c r="H10" s="60"/>
    </row>
    <row r="11" spans="1:8" ht="12.75">
      <c r="A11" s="73"/>
      <c r="B11" s="56"/>
      <c r="C11" s="80"/>
      <c r="D11" s="80"/>
      <c r="E11" s="56"/>
      <c r="F11" s="61"/>
      <c r="H11" s="60"/>
    </row>
    <row r="12" spans="1:8" ht="12.75">
      <c r="A12" s="75" t="s">
        <v>68</v>
      </c>
      <c r="B12" s="53"/>
      <c r="C12" s="87">
        <v>4160</v>
      </c>
      <c r="D12" s="87">
        <v>4483</v>
      </c>
      <c r="E12" s="53">
        <f aca="true" t="shared" si="0" ref="E12:E23">D12-C12</f>
        <v>323</v>
      </c>
      <c r="F12" s="61">
        <f>(E12)/(D$4-C$4)</f>
        <v>0.8825136612021858</v>
      </c>
      <c r="H12" s="60"/>
    </row>
    <row r="13" spans="1:8" ht="12.75">
      <c r="A13" s="75" t="s">
        <v>69</v>
      </c>
      <c r="B13" s="53"/>
      <c r="C13" s="87">
        <v>3638</v>
      </c>
      <c r="D13" s="87">
        <v>3874</v>
      </c>
      <c r="E13" s="53">
        <f t="shared" si="0"/>
        <v>236</v>
      </c>
      <c r="F13" s="61">
        <f aca="true" t="shared" si="1" ref="F13:F24">(E13)/(D$4-C$4)</f>
        <v>0.644808743169399</v>
      </c>
      <c r="G13" s="3"/>
      <c r="H13" s="60"/>
    </row>
    <row r="14" spans="1:8" ht="12.75">
      <c r="A14" s="75" t="s">
        <v>70</v>
      </c>
      <c r="B14" s="53"/>
      <c r="C14" s="87">
        <v>2550</v>
      </c>
      <c r="D14" s="87">
        <v>2690</v>
      </c>
      <c r="E14" s="53">
        <f t="shared" si="0"/>
        <v>140</v>
      </c>
      <c r="F14" s="61">
        <f t="shared" si="1"/>
        <v>0.3825136612021858</v>
      </c>
      <c r="H14" s="60"/>
    </row>
    <row r="15" spans="1:8" ht="12.75">
      <c r="A15" s="75" t="s">
        <v>71</v>
      </c>
      <c r="B15" s="53"/>
      <c r="C15" s="87">
        <v>4088</v>
      </c>
      <c r="D15" s="87">
        <v>4359</v>
      </c>
      <c r="E15" s="53">
        <f t="shared" si="0"/>
        <v>271</v>
      </c>
      <c r="F15" s="61">
        <f t="shared" si="1"/>
        <v>0.7404371584699454</v>
      </c>
      <c r="H15" s="60"/>
    </row>
    <row r="16" spans="1:8" ht="12.75">
      <c r="A16" s="75" t="s">
        <v>72</v>
      </c>
      <c r="B16" s="53"/>
      <c r="C16" s="87">
        <v>3649</v>
      </c>
      <c r="D16" s="87">
        <v>3988</v>
      </c>
      <c r="E16" s="53">
        <f t="shared" si="0"/>
        <v>339</v>
      </c>
      <c r="F16" s="61">
        <f t="shared" si="1"/>
        <v>0.9262295081967213</v>
      </c>
      <c r="H16" s="60"/>
    </row>
    <row r="17" spans="1:8" ht="12.75">
      <c r="A17" s="74" t="s">
        <v>73</v>
      </c>
      <c r="B17" s="53"/>
      <c r="C17" s="87">
        <v>3517</v>
      </c>
      <c r="D17" s="87">
        <v>3749</v>
      </c>
      <c r="E17" s="53">
        <f t="shared" si="0"/>
        <v>232</v>
      </c>
      <c r="F17" s="61">
        <f t="shared" si="1"/>
        <v>0.6338797814207651</v>
      </c>
      <c r="H17" s="60"/>
    </row>
    <row r="18" spans="1:8" ht="12.75">
      <c r="A18" s="74" t="s">
        <v>74</v>
      </c>
      <c r="B18" s="53"/>
      <c r="C18" s="87">
        <v>3582</v>
      </c>
      <c r="D18" s="87">
        <v>3854</v>
      </c>
      <c r="E18" s="53">
        <f t="shared" si="0"/>
        <v>272</v>
      </c>
      <c r="F18" s="61">
        <f t="shared" si="1"/>
        <v>0.7431693989071039</v>
      </c>
      <c r="H18" s="60"/>
    </row>
    <row r="19" spans="1:8" ht="12.75">
      <c r="A19" s="74" t="s">
        <v>75</v>
      </c>
      <c r="B19" s="53"/>
      <c r="C19" s="87">
        <v>3362</v>
      </c>
      <c r="D19" s="87">
        <v>3590</v>
      </c>
      <c r="E19" s="53">
        <f t="shared" si="0"/>
        <v>228</v>
      </c>
      <c r="F19" s="61">
        <f t="shared" si="1"/>
        <v>0.6229508196721312</v>
      </c>
      <c r="H19" s="60"/>
    </row>
    <row r="20" spans="1:8" ht="12.75">
      <c r="A20" s="74">
        <v>24</v>
      </c>
      <c r="B20" s="53"/>
      <c r="C20" s="87">
        <v>74</v>
      </c>
      <c r="D20" s="87">
        <v>105</v>
      </c>
      <c r="E20" s="53">
        <f t="shared" si="0"/>
        <v>31</v>
      </c>
      <c r="F20" s="61">
        <f t="shared" si="1"/>
        <v>0.08469945355191257</v>
      </c>
      <c r="H20" s="60"/>
    </row>
    <row r="21" spans="1:8" ht="12.75">
      <c r="A21" s="74">
        <v>25</v>
      </c>
      <c r="B21" s="53"/>
      <c r="C21" s="87">
        <v>51</v>
      </c>
      <c r="D21" s="87">
        <v>72</v>
      </c>
      <c r="E21" s="53">
        <f t="shared" si="0"/>
        <v>21</v>
      </c>
      <c r="F21" s="61">
        <f t="shared" si="1"/>
        <v>0.05737704918032787</v>
      </c>
      <c r="H21" s="60"/>
    </row>
    <row r="22" spans="1:8" ht="12.75">
      <c r="A22" s="74" t="s">
        <v>76</v>
      </c>
      <c r="B22" s="53"/>
      <c r="C22" s="87">
        <v>5782</v>
      </c>
      <c r="D22" s="87">
        <v>6097</v>
      </c>
      <c r="E22" s="53">
        <f t="shared" si="0"/>
        <v>315</v>
      </c>
      <c r="F22" s="61">
        <f t="shared" si="1"/>
        <v>0.860655737704918</v>
      </c>
      <c r="H22" s="60"/>
    </row>
    <row r="23" spans="1:8" ht="12.75">
      <c r="A23" s="73">
        <v>27</v>
      </c>
      <c r="B23" s="56"/>
      <c r="C23" s="86">
        <v>11591</v>
      </c>
      <c r="D23" s="86">
        <v>12084</v>
      </c>
      <c r="E23" s="56">
        <f t="shared" si="0"/>
        <v>493</v>
      </c>
      <c r="F23" s="61">
        <f t="shared" si="1"/>
        <v>1.3469945355191257</v>
      </c>
      <c r="H23" s="60"/>
    </row>
    <row r="24" spans="1:9" ht="13.5" thickBot="1">
      <c r="A24" s="76" t="s">
        <v>77</v>
      </c>
      <c r="B24" s="63"/>
      <c r="C24" s="82"/>
      <c r="D24" s="82"/>
      <c r="E24" s="64">
        <f>SUM(E12:E23)</f>
        <v>2901</v>
      </c>
      <c r="F24" s="65">
        <f t="shared" si="1"/>
        <v>7.926229508196721</v>
      </c>
      <c r="H24" s="1"/>
      <c r="I24" s="20"/>
    </row>
    <row r="25" spans="1:4" ht="12.75">
      <c r="A25" s="73"/>
      <c r="C25" s="43"/>
      <c r="D25" s="43"/>
    </row>
    <row r="26" spans="1:9" ht="12.75">
      <c r="A26" s="34" t="s">
        <v>78</v>
      </c>
      <c r="C26" s="43"/>
      <c r="D26" s="43"/>
      <c r="E26">
        <f>E22-E7</f>
        <v>189</v>
      </c>
      <c r="F26" s="66">
        <f>E26/(D$4-C$4)</f>
        <v>0.5163934426229508</v>
      </c>
      <c r="H26" s="60" t="s">
        <v>79</v>
      </c>
      <c r="I26" s="20"/>
    </row>
    <row r="27" spans="1:8" ht="12.75">
      <c r="A27" s="73" t="s">
        <v>80</v>
      </c>
      <c r="C27" s="88">
        <v>289.4</v>
      </c>
      <c r="D27" s="88">
        <v>315.7</v>
      </c>
      <c r="E27" s="56">
        <f>D27-C27</f>
        <v>26.30000000000001</v>
      </c>
      <c r="F27" s="57">
        <f>(D27-C27)/(D$4-C$4)</f>
        <v>0.07185792349726779</v>
      </c>
      <c r="H27" t="s">
        <v>81</v>
      </c>
    </row>
    <row r="28" ht="13.5" customHeight="1">
      <c r="A28" s="73"/>
    </row>
    <row r="29" spans="1:6" ht="13.5" customHeight="1">
      <c r="A29" s="73" t="s">
        <v>82</v>
      </c>
      <c r="E29" s="21">
        <f>E24-E7</f>
        <v>2775</v>
      </c>
      <c r="F29" s="57">
        <f>F24-F7</f>
        <v>7.581967213114754</v>
      </c>
    </row>
    <row r="30" spans="1:8" ht="12.75">
      <c r="A30" s="73" t="s">
        <v>170</v>
      </c>
      <c r="E30" s="21">
        <f>E6-E24</f>
        <v>-44</v>
      </c>
      <c r="F30" s="66">
        <f>F6-F24</f>
        <v>-0.12021857923497237</v>
      </c>
      <c r="H30" s="60"/>
    </row>
    <row r="31" spans="1:6" ht="12.75">
      <c r="A31" s="73" t="s">
        <v>83</v>
      </c>
      <c r="E31" s="67">
        <f>(E24-E23-E14-E7)/8</f>
        <v>267.75</v>
      </c>
      <c r="F31" s="66">
        <f>(F24-F23-F14)-F7/8</f>
        <v>6.153688524590164</v>
      </c>
    </row>
    <row r="32" ht="12.75">
      <c r="A32" s="34"/>
    </row>
    <row r="35" ht="12.75">
      <c r="A35" t="s">
        <v>84</v>
      </c>
    </row>
  </sheetData>
  <sheetProtection password="F3CB" sheet="1" objects="1" scenarios="1"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0" bestFit="1" customWidth="1"/>
    <col min="2" max="2" width="3.421875" style="0" bestFit="1" customWidth="1"/>
    <col min="3" max="3" width="19.421875" style="0" bestFit="1" customWidth="1"/>
    <col min="4" max="4" width="6.421875" style="0" bestFit="1" customWidth="1"/>
    <col min="5" max="5" width="10.00390625" style="0" bestFit="1" customWidth="1"/>
    <col min="6" max="6" width="12.140625" style="0" bestFit="1" customWidth="1"/>
    <col min="7" max="7" width="10.00390625" style="0" bestFit="1" customWidth="1"/>
    <col min="8" max="8" width="12.57421875" style="0" bestFit="1" customWidth="1"/>
  </cols>
  <sheetData>
    <row r="1" spans="1:8" ht="12.75">
      <c r="A1" s="118" t="s">
        <v>91</v>
      </c>
      <c r="B1" s="118"/>
      <c r="C1" s="118"/>
      <c r="D1" s="118"/>
      <c r="E1" s="118"/>
      <c r="F1" s="118"/>
      <c r="G1" s="118"/>
      <c r="H1" s="118"/>
    </row>
    <row r="2" spans="1:8" ht="12.75">
      <c r="A2" s="118" t="s">
        <v>104</v>
      </c>
      <c r="B2" s="118"/>
      <c r="C2" s="118"/>
      <c r="D2" s="118"/>
      <c r="E2" s="118"/>
      <c r="F2" s="118"/>
      <c r="G2" s="118"/>
      <c r="H2" s="118"/>
    </row>
    <row r="3" spans="1:8" ht="12.75">
      <c r="A3" s="118" t="s">
        <v>144</v>
      </c>
      <c r="B3" s="118"/>
      <c r="C3" s="118"/>
      <c r="D3" s="118"/>
      <c r="E3" s="118"/>
      <c r="F3" s="118"/>
      <c r="G3" s="118"/>
      <c r="H3" s="118"/>
    </row>
    <row r="4" spans="1:8" ht="12.75">
      <c r="A4" s="119"/>
      <c r="B4" s="119"/>
      <c r="C4" s="119"/>
      <c r="D4" s="119"/>
      <c r="E4" s="119"/>
      <c r="F4" s="119"/>
      <c r="G4" s="119"/>
      <c r="H4" s="119"/>
    </row>
    <row r="5" spans="1:8" ht="12.75">
      <c r="A5" s="98" t="s">
        <v>105</v>
      </c>
      <c r="B5" s="98" t="s">
        <v>106</v>
      </c>
      <c r="C5" s="98" t="s">
        <v>107</v>
      </c>
      <c r="D5" s="99" t="s">
        <v>24</v>
      </c>
      <c r="E5" s="99" t="s">
        <v>108</v>
      </c>
      <c r="F5" s="99" t="s">
        <v>109</v>
      </c>
      <c r="G5" s="99" t="s">
        <v>110</v>
      </c>
      <c r="H5" s="99" t="s">
        <v>111</v>
      </c>
    </row>
    <row r="6" spans="1:8" ht="12.75">
      <c r="A6" s="100" t="s">
        <v>112</v>
      </c>
      <c r="B6" s="102">
        <v>3</v>
      </c>
      <c r="C6" s="100" t="s">
        <v>113</v>
      </c>
      <c r="D6" s="103">
        <v>6</v>
      </c>
      <c r="E6" s="103">
        <v>8702</v>
      </c>
      <c r="F6" s="103">
        <v>0</v>
      </c>
      <c r="G6" s="103">
        <v>8702</v>
      </c>
      <c r="H6" s="104" t="s">
        <v>114</v>
      </c>
    </row>
    <row r="7" spans="1:8" ht="12.75">
      <c r="A7" s="100" t="s">
        <v>112</v>
      </c>
      <c r="B7" s="102">
        <v>4</v>
      </c>
      <c r="C7" s="100" t="s">
        <v>115</v>
      </c>
      <c r="D7" s="103">
        <v>6</v>
      </c>
      <c r="E7" s="103">
        <v>2902</v>
      </c>
      <c r="F7" s="103">
        <v>0</v>
      </c>
      <c r="G7" s="103">
        <v>2902</v>
      </c>
      <c r="H7" s="104" t="s">
        <v>114</v>
      </c>
    </row>
    <row r="8" spans="1:8" ht="12.75">
      <c r="A8" s="100" t="s">
        <v>112</v>
      </c>
      <c r="B8" s="102">
        <v>5</v>
      </c>
      <c r="C8" s="100" t="s">
        <v>116</v>
      </c>
      <c r="D8" s="103">
        <v>6</v>
      </c>
      <c r="E8" s="103">
        <v>12706</v>
      </c>
      <c r="F8" s="103">
        <v>0</v>
      </c>
      <c r="G8" s="103">
        <v>12706</v>
      </c>
      <c r="H8" s="104" t="s">
        <v>114</v>
      </c>
    </row>
    <row r="9" spans="1:8" ht="12.75">
      <c r="A9" s="100" t="s">
        <v>112</v>
      </c>
      <c r="B9" s="102">
        <v>6</v>
      </c>
      <c r="C9" s="100" t="s">
        <v>117</v>
      </c>
      <c r="D9" s="103">
        <v>6</v>
      </c>
      <c r="E9" s="103">
        <v>3952</v>
      </c>
      <c r="F9" s="103">
        <v>0</v>
      </c>
      <c r="G9" s="103">
        <v>3952</v>
      </c>
      <c r="H9" s="104" t="s">
        <v>114</v>
      </c>
    </row>
    <row r="10" spans="1:8" ht="12.75">
      <c r="A10" s="100" t="s">
        <v>112</v>
      </c>
      <c r="B10" s="102">
        <v>7</v>
      </c>
      <c r="C10" s="100" t="s">
        <v>118</v>
      </c>
      <c r="D10" s="103">
        <v>6</v>
      </c>
      <c r="E10" s="103">
        <v>2932</v>
      </c>
      <c r="F10" s="103">
        <v>0</v>
      </c>
      <c r="G10" s="103">
        <v>2932</v>
      </c>
      <c r="H10" s="104" t="s">
        <v>114</v>
      </c>
    </row>
    <row r="11" spans="1:8" ht="12.75">
      <c r="A11" s="100" t="s">
        <v>112</v>
      </c>
      <c r="B11" s="102">
        <v>8</v>
      </c>
      <c r="C11" s="100" t="s">
        <v>119</v>
      </c>
      <c r="D11" s="103">
        <v>6</v>
      </c>
      <c r="E11" s="103">
        <v>4624</v>
      </c>
      <c r="F11" s="103">
        <v>0</v>
      </c>
      <c r="G11" s="103">
        <v>4624</v>
      </c>
      <c r="H11" s="104" t="s">
        <v>114</v>
      </c>
    </row>
    <row r="12" spans="1:8" ht="12.75">
      <c r="A12" s="100" t="s">
        <v>112</v>
      </c>
      <c r="B12" s="102">
        <v>9</v>
      </c>
      <c r="C12" s="100" t="s">
        <v>120</v>
      </c>
      <c r="D12" s="103">
        <v>6</v>
      </c>
      <c r="E12" s="103">
        <v>3660</v>
      </c>
      <c r="F12" s="103">
        <v>0</v>
      </c>
      <c r="G12" s="103">
        <v>3660</v>
      </c>
      <c r="H12" s="104" t="s">
        <v>114</v>
      </c>
    </row>
    <row r="13" spans="1:8" ht="12.75">
      <c r="A13" s="100" t="s">
        <v>112</v>
      </c>
      <c r="B13" s="102">
        <v>10</v>
      </c>
      <c r="C13" s="100" t="s">
        <v>121</v>
      </c>
      <c r="D13" s="103">
        <v>6</v>
      </c>
      <c r="E13" s="103">
        <v>7320</v>
      </c>
      <c r="F13" s="103">
        <v>0</v>
      </c>
      <c r="G13" s="103">
        <v>7320</v>
      </c>
      <c r="H13" s="104" t="s">
        <v>114</v>
      </c>
    </row>
    <row r="14" spans="1:8" ht="12.75">
      <c r="A14" s="100" t="s">
        <v>112</v>
      </c>
      <c r="B14" s="102">
        <v>11</v>
      </c>
      <c r="C14" s="100" t="s">
        <v>122</v>
      </c>
      <c r="D14" s="103">
        <v>6</v>
      </c>
      <c r="E14" s="103">
        <v>7575</v>
      </c>
      <c r="F14" s="103">
        <v>0</v>
      </c>
      <c r="G14" s="103">
        <v>7575</v>
      </c>
      <c r="H14" s="104" t="s">
        <v>114</v>
      </c>
    </row>
    <row r="15" spans="1:8" ht="12.75">
      <c r="A15" s="100" t="s">
        <v>112</v>
      </c>
      <c r="B15" s="102">
        <v>12</v>
      </c>
      <c r="C15" s="100" t="s">
        <v>123</v>
      </c>
      <c r="D15" s="103">
        <v>6</v>
      </c>
      <c r="E15" s="103">
        <v>5683</v>
      </c>
      <c r="F15" s="103">
        <v>0</v>
      </c>
      <c r="G15" s="103">
        <v>5683</v>
      </c>
      <c r="H15" s="104" t="s">
        <v>114</v>
      </c>
    </row>
    <row r="16" spans="1:8" ht="12.75">
      <c r="A16" s="100" t="s">
        <v>112</v>
      </c>
      <c r="B16" s="102">
        <v>13</v>
      </c>
      <c r="C16" s="100" t="s">
        <v>124</v>
      </c>
      <c r="D16" s="103">
        <v>6</v>
      </c>
      <c r="E16" s="103">
        <v>5112</v>
      </c>
      <c r="F16" s="103">
        <v>0</v>
      </c>
      <c r="G16" s="103">
        <v>5112</v>
      </c>
      <c r="H16" s="104" t="s">
        <v>114</v>
      </c>
    </row>
    <row r="17" spans="1:8" ht="12.75">
      <c r="A17" s="100" t="s">
        <v>112</v>
      </c>
      <c r="B17" s="102">
        <v>14</v>
      </c>
      <c r="C17" s="100" t="s">
        <v>125</v>
      </c>
      <c r="D17" s="103">
        <v>6</v>
      </c>
      <c r="E17" s="103">
        <v>10119</v>
      </c>
      <c r="F17" s="103">
        <v>0</v>
      </c>
      <c r="G17" s="103">
        <v>10119</v>
      </c>
      <c r="H17" s="104" t="s">
        <v>114</v>
      </c>
    </row>
    <row r="18" spans="1:8" ht="12.75">
      <c r="A18" s="100" t="s">
        <v>112</v>
      </c>
      <c r="B18" s="102">
        <v>15</v>
      </c>
      <c r="C18" s="100" t="s">
        <v>126</v>
      </c>
      <c r="D18" s="103">
        <v>6</v>
      </c>
      <c r="E18" s="103">
        <v>5192</v>
      </c>
      <c r="F18" s="103">
        <v>0</v>
      </c>
      <c r="G18" s="103">
        <v>5192</v>
      </c>
      <c r="H18" s="104" t="s">
        <v>114</v>
      </c>
    </row>
    <row r="19" spans="1:8" ht="12.75">
      <c r="A19" s="100" t="s">
        <v>112</v>
      </c>
      <c r="B19" s="102">
        <v>16</v>
      </c>
      <c r="C19" s="100" t="s">
        <v>127</v>
      </c>
      <c r="D19" s="103">
        <v>6</v>
      </c>
      <c r="E19" s="103">
        <v>12647</v>
      </c>
      <c r="F19" s="103">
        <v>0</v>
      </c>
      <c r="G19" s="103">
        <v>12647</v>
      </c>
      <c r="H19" s="104" t="s">
        <v>114</v>
      </c>
    </row>
    <row r="20" spans="1:8" ht="12.75">
      <c r="A20" s="100" t="s">
        <v>112</v>
      </c>
      <c r="B20" s="102">
        <v>17</v>
      </c>
      <c r="C20" s="100" t="s">
        <v>128</v>
      </c>
      <c r="D20" s="103">
        <v>6</v>
      </c>
      <c r="E20" s="103">
        <v>5962</v>
      </c>
      <c r="F20" s="103">
        <v>0</v>
      </c>
      <c r="G20" s="103">
        <v>5962</v>
      </c>
      <c r="H20" s="104" t="s">
        <v>114</v>
      </c>
    </row>
    <row r="21" spans="1:8" ht="12.75">
      <c r="A21" s="100" t="s">
        <v>112</v>
      </c>
      <c r="B21" s="102">
        <v>18</v>
      </c>
      <c r="C21" s="100" t="s">
        <v>129</v>
      </c>
      <c r="D21" s="103">
        <v>6</v>
      </c>
      <c r="E21" s="103">
        <v>5962</v>
      </c>
      <c r="F21" s="103">
        <v>0</v>
      </c>
      <c r="G21" s="103">
        <v>5962</v>
      </c>
      <c r="H21" s="104" t="s">
        <v>114</v>
      </c>
    </row>
    <row r="22" spans="1:8" ht="12.75">
      <c r="A22" s="100" t="s">
        <v>112</v>
      </c>
      <c r="B22" s="102">
        <v>19</v>
      </c>
      <c r="C22" s="100" t="s">
        <v>130</v>
      </c>
      <c r="D22" s="103">
        <v>6</v>
      </c>
      <c r="E22" s="103">
        <v>5962</v>
      </c>
      <c r="F22" s="103">
        <v>0</v>
      </c>
      <c r="G22" s="103">
        <v>5962</v>
      </c>
      <c r="H22" s="104" t="s">
        <v>114</v>
      </c>
    </row>
    <row r="23" spans="1:8" ht="12.75">
      <c r="A23" s="100" t="s">
        <v>112</v>
      </c>
      <c r="B23" s="102">
        <v>20</v>
      </c>
      <c r="C23" s="100" t="s">
        <v>131</v>
      </c>
      <c r="D23" s="103">
        <v>6</v>
      </c>
      <c r="E23" s="103">
        <v>5225</v>
      </c>
      <c r="F23" s="103">
        <v>0</v>
      </c>
      <c r="G23" s="103">
        <v>5225</v>
      </c>
      <c r="H23" s="104" t="s">
        <v>114</v>
      </c>
    </row>
    <row r="24" spans="1:8" ht="12.75">
      <c r="A24" s="100" t="s">
        <v>112</v>
      </c>
      <c r="B24" s="102">
        <v>21</v>
      </c>
      <c r="C24" s="100" t="s">
        <v>132</v>
      </c>
      <c r="D24" s="103">
        <v>6</v>
      </c>
      <c r="E24" s="103">
        <v>4427</v>
      </c>
      <c r="F24" s="103">
        <v>0</v>
      </c>
      <c r="G24" s="103">
        <v>4427</v>
      </c>
      <c r="H24" s="104" t="s">
        <v>114</v>
      </c>
    </row>
    <row r="25" spans="1:8" ht="12.75">
      <c r="A25" s="100" t="s">
        <v>112</v>
      </c>
      <c r="B25" s="102">
        <v>22</v>
      </c>
      <c r="C25" s="100" t="s">
        <v>133</v>
      </c>
      <c r="D25" s="103">
        <v>6</v>
      </c>
      <c r="E25" s="103">
        <v>8854</v>
      </c>
      <c r="F25" s="103">
        <v>0</v>
      </c>
      <c r="G25" s="103">
        <v>8854</v>
      </c>
      <c r="H25" s="104" t="s">
        <v>114</v>
      </c>
    </row>
    <row r="26" spans="1:8" ht="12.75">
      <c r="A26" s="100" t="s">
        <v>112</v>
      </c>
      <c r="B26" s="102">
        <v>23</v>
      </c>
      <c r="C26" s="100" t="s">
        <v>134</v>
      </c>
      <c r="D26" s="103">
        <v>6</v>
      </c>
      <c r="E26" s="103">
        <v>5966</v>
      </c>
      <c r="F26" s="103">
        <v>0</v>
      </c>
      <c r="G26" s="103">
        <v>5966</v>
      </c>
      <c r="H26" s="104" t="s">
        <v>114</v>
      </c>
    </row>
    <row r="27" spans="1:8" ht="12.75">
      <c r="A27" s="100" t="s">
        <v>112</v>
      </c>
      <c r="B27" s="102">
        <v>24</v>
      </c>
      <c r="C27" s="100" t="s">
        <v>135</v>
      </c>
      <c r="D27" s="103">
        <v>6</v>
      </c>
      <c r="E27" s="103">
        <v>2986</v>
      </c>
      <c r="F27" s="103">
        <v>0</v>
      </c>
      <c r="G27" s="103">
        <v>2986</v>
      </c>
      <c r="H27" s="104" t="s">
        <v>114</v>
      </c>
    </row>
    <row r="28" spans="1:8" ht="12.75">
      <c r="A28" s="100" t="s">
        <v>112</v>
      </c>
      <c r="B28" s="102">
        <v>25</v>
      </c>
      <c r="C28" s="100" t="s">
        <v>136</v>
      </c>
      <c r="D28" s="103">
        <v>6</v>
      </c>
      <c r="E28" s="103">
        <v>3461</v>
      </c>
      <c r="F28" s="103">
        <v>0</v>
      </c>
      <c r="G28" s="103">
        <v>3461</v>
      </c>
      <c r="H28" s="104" t="s">
        <v>114</v>
      </c>
    </row>
    <row r="29" spans="1:8" ht="12.75">
      <c r="A29" s="100" t="s">
        <v>112</v>
      </c>
      <c r="B29" s="102">
        <v>26</v>
      </c>
      <c r="C29" s="100" t="s">
        <v>137</v>
      </c>
      <c r="D29" s="103">
        <v>6</v>
      </c>
      <c r="E29" s="103">
        <v>2896</v>
      </c>
      <c r="F29" s="103">
        <v>0</v>
      </c>
      <c r="G29" s="103">
        <v>2896</v>
      </c>
      <c r="H29" s="104" t="s">
        <v>114</v>
      </c>
    </row>
    <row r="30" spans="1:8" ht="12.75">
      <c r="A30" s="100" t="s">
        <v>112</v>
      </c>
      <c r="B30" s="102">
        <v>27</v>
      </c>
      <c r="C30" s="100" t="s">
        <v>138</v>
      </c>
      <c r="D30" s="103">
        <v>6</v>
      </c>
      <c r="E30" s="103">
        <v>2643</v>
      </c>
      <c r="F30" s="103">
        <v>0</v>
      </c>
      <c r="G30" s="103">
        <v>2643</v>
      </c>
      <c r="H30" s="104" t="s">
        <v>114</v>
      </c>
    </row>
    <row r="31" spans="1:8" ht="12.75">
      <c r="A31" s="100" t="s">
        <v>112</v>
      </c>
      <c r="B31" s="102">
        <v>28</v>
      </c>
      <c r="C31" s="100" t="s">
        <v>139</v>
      </c>
      <c r="D31" s="103">
        <v>6</v>
      </c>
      <c r="E31" s="103">
        <v>3537</v>
      </c>
      <c r="F31" s="103">
        <v>0</v>
      </c>
      <c r="G31" s="103">
        <v>3537</v>
      </c>
      <c r="H31" s="104" t="s">
        <v>114</v>
      </c>
    </row>
    <row r="32" spans="1:8" ht="12.75">
      <c r="A32" s="100" t="s">
        <v>112</v>
      </c>
      <c r="B32" s="102">
        <v>29</v>
      </c>
      <c r="C32" s="100" t="s">
        <v>140</v>
      </c>
      <c r="D32" s="103">
        <v>6</v>
      </c>
      <c r="E32" s="103">
        <v>6874</v>
      </c>
      <c r="F32" s="103">
        <v>0</v>
      </c>
      <c r="G32" s="103">
        <v>6874</v>
      </c>
      <c r="H32" s="104" t="s">
        <v>114</v>
      </c>
    </row>
    <row r="33" spans="1:8" ht="12.75">
      <c r="A33" s="98" t="s">
        <v>141</v>
      </c>
      <c r="B33" s="94"/>
      <c r="C33" s="94"/>
      <c r="D33" s="105">
        <v>162</v>
      </c>
      <c r="E33" s="105">
        <v>157881</v>
      </c>
      <c r="F33" s="105">
        <v>0</v>
      </c>
      <c r="G33" s="105">
        <v>157881</v>
      </c>
      <c r="H33" s="99" t="s">
        <v>114</v>
      </c>
    </row>
    <row r="34" spans="1:8" ht="12.75">
      <c r="A34" s="98" t="s">
        <v>142</v>
      </c>
      <c r="B34" s="94"/>
      <c r="C34" s="94"/>
      <c r="D34" s="105">
        <v>162</v>
      </c>
      <c r="E34" s="105">
        <v>157881</v>
      </c>
      <c r="F34" s="105">
        <v>0</v>
      </c>
      <c r="G34" s="105">
        <v>157881</v>
      </c>
      <c r="H34" s="99" t="s">
        <v>114</v>
      </c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4.00390625" style="0" bestFit="1" customWidth="1"/>
    <col min="2" max="2" width="10.140625" style="0" bestFit="1" customWidth="1"/>
    <col min="3" max="3" width="4.57421875" style="0" bestFit="1" customWidth="1"/>
    <col min="4" max="4" width="22.28125" style="0" bestFit="1" customWidth="1"/>
    <col min="5" max="5" width="5.8515625" style="0" bestFit="1" customWidth="1"/>
    <col min="6" max="6" width="10.140625" style="0" bestFit="1" customWidth="1"/>
    <col min="7" max="7" width="9.8515625" style="0" bestFit="1" customWidth="1"/>
    <col min="8" max="8" width="6.00390625" style="0" bestFit="1" customWidth="1"/>
  </cols>
  <sheetData>
    <row r="1" spans="1:13" ht="12.75">
      <c r="A1" s="118" t="s">
        <v>91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2.75">
      <c r="A2" s="118" t="s">
        <v>92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2.75">
      <c r="A3" s="118" t="s">
        <v>93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2.7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8" ht="12.75">
      <c r="A5" s="98" t="s">
        <v>94</v>
      </c>
      <c r="B5" s="98" t="s">
        <v>95</v>
      </c>
      <c r="C5" s="98" t="s">
        <v>96</v>
      </c>
      <c r="D5" s="98" t="s">
        <v>97</v>
      </c>
      <c r="E5" s="98" t="s">
        <v>98</v>
      </c>
      <c r="F5" s="99" t="s">
        <v>99</v>
      </c>
      <c r="G5" s="99" t="s">
        <v>100</v>
      </c>
      <c r="H5" s="98" t="s">
        <v>101</v>
      </c>
    </row>
    <row r="6" spans="1:8" ht="12.75">
      <c r="A6" s="100" t="s">
        <v>102</v>
      </c>
      <c r="B6" s="101">
        <v>40939</v>
      </c>
      <c r="C6" s="102">
        <v>4</v>
      </c>
      <c r="D6" s="100" t="s">
        <v>103</v>
      </c>
      <c r="E6" s="94"/>
      <c r="F6" s="103">
        <v>2539</v>
      </c>
      <c r="G6" s="103">
        <v>2539</v>
      </c>
      <c r="H6" s="94"/>
    </row>
    <row r="7" spans="1:8" ht="12.75">
      <c r="A7" s="100" t="s">
        <v>102</v>
      </c>
      <c r="B7" s="101">
        <v>40999</v>
      </c>
      <c r="C7" s="102">
        <v>5</v>
      </c>
      <c r="D7" s="100" t="s">
        <v>103</v>
      </c>
      <c r="E7" s="94"/>
      <c r="F7" s="103">
        <v>3255</v>
      </c>
      <c r="G7" s="103">
        <v>5794</v>
      </c>
      <c r="H7" s="94"/>
    </row>
    <row r="8" spans="1:8" ht="12.75">
      <c r="A8" s="100" t="s">
        <v>102</v>
      </c>
      <c r="B8" s="101">
        <v>41060</v>
      </c>
      <c r="C8" s="102">
        <v>6</v>
      </c>
      <c r="D8" s="100" t="s">
        <v>103</v>
      </c>
      <c r="E8" s="94"/>
      <c r="F8" s="103">
        <v>3255</v>
      </c>
      <c r="G8" s="103">
        <v>9049</v>
      </c>
      <c r="H8" s="94"/>
    </row>
    <row r="9" spans="1:8" ht="12.75">
      <c r="A9" s="100" t="s">
        <v>102</v>
      </c>
      <c r="B9" s="101">
        <v>41121</v>
      </c>
      <c r="C9" s="102">
        <v>7</v>
      </c>
      <c r="D9" s="100" t="s">
        <v>103</v>
      </c>
      <c r="E9" s="94"/>
      <c r="F9" s="103">
        <v>3255</v>
      </c>
      <c r="G9" s="103">
        <v>12304</v>
      </c>
      <c r="H9" s="94"/>
    </row>
    <row r="10" spans="1:8" ht="12.75">
      <c r="A10" s="100" t="s">
        <v>102</v>
      </c>
      <c r="B10" s="101">
        <v>41182</v>
      </c>
      <c r="C10" s="102">
        <v>8</v>
      </c>
      <c r="D10" s="100" t="s">
        <v>103</v>
      </c>
      <c r="E10" s="94"/>
      <c r="F10" s="103">
        <v>3255</v>
      </c>
      <c r="G10" s="103">
        <v>15559</v>
      </c>
      <c r="H10" s="94"/>
    </row>
    <row r="11" spans="1:8" ht="12.75">
      <c r="A11" s="100" t="s">
        <v>102</v>
      </c>
      <c r="B11" s="101">
        <v>41243</v>
      </c>
      <c r="C11" s="102">
        <v>9</v>
      </c>
      <c r="D11" s="100" t="s">
        <v>103</v>
      </c>
      <c r="E11" s="94"/>
      <c r="F11" s="103">
        <v>3255</v>
      </c>
      <c r="G11" s="103">
        <v>18814</v>
      </c>
      <c r="H11" s="94"/>
    </row>
  </sheetData>
  <sheetProtection/>
  <mergeCells count="4">
    <mergeCell ref="A1:M1"/>
    <mergeCell ref="A2:M2"/>
    <mergeCell ref="A3:M3"/>
    <mergeCell ref="A4:M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NOVO NORDISK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Rasmussen</dc:creator>
  <cp:keywords/>
  <dc:description/>
  <cp:lastModifiedBy>Mikael Rasmussen</cp:lastModifiedBy>
  <cp:lastPrinted>2011-09-29T11:49:37Z</cp:lastPrinted>
  <dcterms:created xsi:type="dcterms:W3CDTF">2000-08-12T16:15:10Z</dcterms:created>
  <dcterms:modified xsi:type="dcterms:W3CDTF">2013-05-20T09:13:13Z</dcterms:modified>
  <cp:category/>
  <cp:version/>
  <cp:contentType/>
  <cp:contentStatus/>
</cp:coreProperties>
</file>