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965" windowHeight="11955" activeTab="0"/>
  </bookViews>
  <sheets>
    <sheet name="Vandregnskab " sheetId="1" r:id="rId1"/>
    <sheet name="Aflæsninger" sheetId="2" r:id="rId2"/>
    <sheet name="a conto" sheetId="3" r:id="rId3"/>
  </sheets>
  <definedNames/>
  <calcPr fullCalcOnLoad="1"/>
</workbook>
</file>

<file path=xl/sharedStrings.xml><?xml version="1.0" encoding="utf-8"?>
<sst xmlns="http://schemas.openxmlformats.org/spreadsheetml/2006/main" count="147" uniqueCount="108">
  <si>
    <t>1</t>
  </si>
  <si>
    <t>2</t>
  </si>
  <si>
    <t>3</t>
  </si>
  <si>
    <t xml:space="preserve"> </t>
  </si>
  <si>
    <t>4</t>
  </si>
  <si>
    <t>5</t>
  </si>
  <si>
    <t>6</t>
  </si>
  <si>
    <t>7</t>
  </si>
  <si>
    <t>8</t>
  </si>
  <si>
    <t>9</t>
  </si>
  <si>
    <t>10</t>
  </si>
  <si>
    <t>11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</si>
  <si>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</si>
  <si>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</si>
  <si>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</si>
  <si>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</si>
  <si>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</si>
  <si>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</si>
  <si>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</si>
  <si>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</si>
  <si>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</si>
  <si>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</si>
  <si>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16</t>
  </si>
  <si>
    <t>personer</t>
  </si>
  <si>
    <t>Antal</t>
  </si>
  <si>
    <t>26A</t>
  </si>
  <si>
    <t>26C</t>
  </si>
  <si>
    <r>
      <t>m</t>
    </r>
    <r>
      <rPr>
        <vertAlign val="superscript"/>
        <sz val="10"/>
        <rFont val="Arial"/>
        <family val="2"/>
      </rPr>
      <t>3</t>
    </r>
  </si>
  <si>
    <t>kr.</t>
  </si>
  <si>
    <t>Hus nr.</t>
  </si>
  <si>
    <t>A cto.</t>
  </si>
  <si>
    <t>Vandforbrug</t>
  </si>
  <si>
    <t>pr. hus</t>
  </si>
  <si>
    <t>Total udgift:</t>
  </si>
  <si>
    <t>årlig.</t>
  </si>
  <si>
    <t>i alt</t>
  </si>
  <si>
    <t>m3</t>
  </si>
  <si>
    <t>kr</t>
  </si>
  <si>
    <t>Totalt for husstande</t>
  </si>
  <si>
    <t>Totalt for fælleshus</t>
  </si>
  <si>
    <r>
      <t>gruppe</t>
    </r>
    <r>
      <rPr>
        <sz val="7"/>
        <rFont val="Arial"/>
        <family val="0"/>
      </rPr>
      <t xml:space="preserve"> </t>
    </r>
  </si>
  <si>
    <t>gruppe</t>
  </si>
  <si>
    <t xml:space="preserve"> Opkrævet af kommunen</t>
  </si>
  <si>
    <r>
      <t xml:space="preserve"> Beregnet pris i kr/m</t>
    </r>
    <r>
      <rPr>
        <vertAlign val="superscript"/>
        <sz val="10"/>
        <rFont val="Arial"/>
        <family val="2"/>
      </rPr>
      <t>3</t>
    </r>
  </si>
  <si>
    <t>Bimålere i alt</t>
  </si>
  <si>
    <t>Kontrol</t>
  </si>
  <si>
    <t>Indbetalt</t>
  </si>
  <si>
    <t>Fælleshus samt Tab:</t>
  </si>
  <si>
    <t xml:space="preserve">A conto </t>
  </si>
  <si>
    <t>næste år</t>
  </si>
  <si>
    <t>per GEF</t>
  </si>
  <si>
    <r>
      <t>Totalt antal m</t>
    </r>
    <r>
      <rPr>
        <vertAlign val="superscript"/>
        <sz val="10"/>
        <rFont val="Arial"/>
        <family val="2"/>
      </rPr>
      <t>3</t>
    </r>
  </si>
  <si>
    <r>
      <t>A conto-m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-pris:</t>
    </r>
  </si>
  <si>
    <t>Sidste år</t>
  </si>
  <si>
    <t>Ændring</t>
  </si>
  <si>
    <t>Difference</t>
  </si>
  <si>
    <t>I alt</t>
  </si>
  <si>
    <t>Reg.GEF</t>
  </si>
  <si>
    <t>Reg.ops.</t>
  </si>
  <si>
    <t>5 a</t>
  </si>
  <si>
    <t>5 b</t>
  </si>
  <si>
    <t>26 a</t>
  </si>
  <si>
    <t xml:space="preserve">26c </t>
  </si>
  <si>
    <t xml:space="preserve">Vand a conto </t>
  </si>
  <si>
    <t xml:space="preserve"> GEF 4</t>
  </si>
  <si>
    <t xml:space="preserve"> GEF 5</t>
  </si>
  <si>
    <t xml:space="preserve"> GEF 6</t>
  </si>
  <si>
    <t>GEF 1</t>
  </si>
  <si>
    <t>GEF 2</t>
  </si>
  <si>
    <t>GEF 3</t>
  </si>
  <si>
    <t>Regulering</t>
  </si>
  <si>
    <t>Betaling</t>
  </si>
  <si>
    <t>Med tillæg for varmt vand fra Hus 26</t>
  </si>
  <si>
    <t>Minus varmt vand til Hus 24 og 25</t>
  </si>
  <si>
    <t xml:space="preserve"> Aflæsningerne eksl. Grønt vand</t>
  </si>
  <si>
    <t>Aflæsning</t>
  </si>
  <si>
    <t>Forbrug/dag</t>
  </si>
  <si>
    <t>Hovedmåler</t>
  </si>
  <si>
    <t>Grønt vand</t>
  </si>
  <si>
    <t>Hoved - Grønt</t>
  </si>
  <si>
    <t>Bruges til at regne m3-prisen ud. Grønt vand fordeles hermed på alle</t>
  </si>
  <si>
    <t>Fyrgrupper</t>
  </si>
  <si>
    <t>1 til 3</t>
  </si>
  <si>
    <t>4 til 6</t>
  </si>
  <si>
    <t>7 til 8</t>
  </si>
  <si>
    <t>9 til 11</t>
  </si>
  <si>
    <t>12 til 14</t>
  </si>
  <si>
    <t>15 til 17</t>
  </si>
  <si>
    <t>18 til 20</t>
  </si>
  <si>
    <t>21 til 23</t>
  </si>
  <si>
    <t>26 inkl. Grønt vand</t>
  </si>
  <si>
    <t>I alt bimålere</t>
  </si>
  <si>
    <t>26 eksl. grønt vand</t>
  </si>
  <si>
    <t>Bruges til afregningen minus varmt vand til hus 24-25</t>
  </si>
  <si>
    <t>Varmt vand Hus 24-25</t>
  </si>
  <si>
    <t>Lægges til Hus 24-25 og trækkes fra Hus 26s forbrug</t>
  </si>
  <si>
    <t>Målt "privatforbrug"</t>
  </si>
  <si>
    <t>Hovedmåler - bimålere (Tab!)</t>
  </si>
  <si>
    <t>Gennemsnit fyrgrupper (minus 7-8)</t>
  </si>
  <si>
    <t>bakken27</t>
  </si>
  <si>
    <t>Differens mellem totalforbrug og registreret forbrug fra bimålerne fordeles ud på alle 27 husstande via GEF</t>
  </si>
  <si>
    <t>Vandforbrug 3. januar 2010 til den 1. januar 2011</t>
  </si>
  <si>
    <t>per</t>
  </si>
  <si>
    <t>person</t>
  </si>
  <si>
    <t>Næste år</t>
  </si>
  <si>
    <t>Vandregnskab 2010 Version 5</t>
  </si>
  <si>
    <t>Vaskeri</t>
  </si>
  <si>
    <t>Fælleshus rent</t>
  </si>
</sst>
</file>

<file path=xl/styles.xml><?xml version="1.0" encoding="utf-8"?>
<styleSheet xmlns="http://schemas.openxmlformats.org/spreadsheetml/2006/main">
  <numFmts count="2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0.0000"/>
    <numFmt numFmtId="173" formatCode="0.0"/>
    <numFmt numFmtId="174" formatCode="#,##0.000"/>
    <numFmt numFmtId="175" formatCode="mmm/yyyy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7"/>
      <name val="Arial"/>
      <family val="0"/>
    </font>
    <font>
      <i/>
      <sz val="10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sz val="8"/>
      <name val="Arial"/>
      <family val="0"/>
    </font>
    <font>
      <sz val="10.5"/>
      <name val="Comic Sans MS"/>
      <family val="4"/>
    </font>
    <font>
      <sz val="12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2" fillId="17" borderId="2" applyNumberFormat="0" applyAlignment="0" applyProtection="0"/>
    <xf numFmtId="0" fontId="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0" fillId="7" borderId="2" applyNumberFormat="0" applyAlignment="0" applyProtection="0"/>
    <xf numFmtId="0" fontId="24" fillId="18" borderId="3" applyNumberFormat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19" fillId="23" borderId="0" applyNumberFormat="0" applyBorder="0" applyAlignment="0" applyProtection="0"/>
    <xf numFmtId="0" fontId="21" fillId="17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18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center"/>
    </xf>
    <xf numFmtId="3" fontId="4" fillId="0" borderId="0" xfId="0" applyNumberFormat="1" applyFont="1" applyAlignment="1">
      <alignment horizontal="center"/>
    </xf>
    <xf numFmtId="0" fontId="0" fillId="17" borderId="0" xfId="0" applyFill="1" applyAlignment="1">
      <alignment/>
    </xf>
    <xf numFmtId="0" fontId="0" fillId="17" borderId="0" xfId="0" applyFill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3" fontId="0" fillId="0" borderId="1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173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73" fontId="0" fillId="0" borderId="0" xfId="0" applyNumberFormat="1" applyAlignment="1">
      <alignment horizontal="right"/>
    </xf>
    <xf numFmtId="0" fontId="0" fillId="17" borderId="0" xfId="0" applyFont="1" applyFill="1" applyAlignment="1">
      <alignment horizontal="center"/>
    </xf>
    <xf numFmtId="3" fontId="0" fillId="0" borderId="0" xfId="0" applyNumberFormat="1" applyAlignment="1">
      <alignment horizontal="left"/>
    </xf>
    <xf numFmtId="0" fontId="0" fillId="0" borderId="0" xfId="0" applyAlignment="1" quotePrefix="1">
      <alignment/>
    </xf>
    <xf numFmtId="49" fontId="0" fillId="0" borderId="0" xfId="0" applyNumberFormat="1" applyAlignment="1">
      <alignment horizontal="left"/>
    </xf>
    <xf numFmtId="3" fontId="0" fillId="17" borderId="0" xfId="0" applyNumberFormat="1" applyFill="1" applyAlignment="1">
      <alignment horizontal="center"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left"/>
    </xf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0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" fontId="9" fillId="0" borderId="12" xfId="0" applyNumberFormat="1" applyFont="1" applyBorder="1" applyAlignment="1" quotePrefix="1">
      <alignment horizontal="center"/>
    </xf>
    <xf numFmtId="3" fontId="9" fillId="0" borderId="13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9" fillId="0" borderId="12" xfId="0" applyFont="1" applyBorder="1" applyAlignment="1" quotePrefix="1">
      <alignment horizont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/>
    </xf>
    <xf numFmtId="3" fontId="9" fillId="0" borderId="15" xfId="0" applyNumberFormat="1" applyFont="1" applyBorder="1" applyAlignment="1">
      <alignment/>
    </xf>
    <xf numFmtId="3" fontId="4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>
      <alignment horizontal="right"/>
    </xf>
    <xf numFmtId="0" fontId="0" fillId="0" borderId="16" xfId="0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" fontId="0" fillId="0" borderId="0" xfId="0" applyNumberFormat="1" applyAlignment="1">
      <alignment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2" fontId="0" fillId="0" borderId="0" xfId="0" applyNumberFormat="1" applyAlignment="1">
      <alignment/>
    </xf>
    <xf numFmtId="4" fontId="0" fillId="0" borderId="11" xfId="0" applyNumberFormat="1" applyFill="1" applyBorder="1" applyAlignment="1">
      <alignment/>
    </xf>
    <xf numFmtId="14" fontId="0" fillId="0" borderId="0" xfId="0" applyNumberFormat="1" applyAlignment="1">
      <alignment/>
    </xf>
    <xf numFmtId="0" fontId="0" fillId="0" borderId="18" xfId="0" applyFill="1" applyBorder="1" applyAlignment="1">
      <alignment/>
    </xf>
    <xf numFmtId="3" fontId="0" fillId="0" borderId="18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Alignment="1" applyProtection="1">
      <alignment horizontal="right"/>
      <protection locked="0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3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16" fontId="0" fillId="0" borderId="17" xfId="0" applyNumberFormat="1" applyFont="1" applyFill="1" applyBorder="1" applyAlignment="1">
      <alignment horizontal="left"/>
    </xf>
    <xf numFmtId="49" fontId="0" fillId="0" borderId="18" xfId="0" applyNumberFormat="1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14" fontId="4" fillId="0" borderId="17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3" fontId="4" fillId="0" borderId="17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9" fillId="17" borderId="19" xfId="0" applyFont="1" applyFill="1" applyBorder="1" applyAlignment="1">
      <alignment horizontal="center"/>
    </xf>
    <xf numFmtId="0" fontId="9" fillId="17" borderId="20" xfId="0" applyFont="1" applyFill="1" applyBorder="1" applyAlignment="1">
      <alignment horizontal="center"/>
    </xf>
    <xf numFmtId="0" fontId="11" fillId="17" borderId="20" xfId="0" applyFont="1" applyFill="1" applyBorder="1" applyAlignment="1">
      <alignment horizontal="center"/>
    </xf>
    <xf numFmtId="3" fontId="12" fillId="0" borderId="13" xfId="0" applyNumberFormat="1" applyFont="1" applyBorder="1" applyAlignment="1">
      <alignment/>
    </xf>
    <xf numFmtId="0" fontId="12" fillId="0" borderId="13" xfId="0" applyFont="1" applyBorder="1" applyAlignment="1">
      <alignment/>
    </xf>
    <xf numFmtId="3" fontId="0" fillId="0" borderId="21" xfId="0" applyNumberFormat="1" applyFon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12" fillId="0" borderId="13" xfId="0" applyNumberFormat="1" applyFont="1" applyBorder="1" applyAlignment="1" applyProtection="1">
      <alignment/>
      <protection/>
    </xf>
    <xf numFmtId="49" fontId="0" fillId="0" borderId="0" xfId="0" applyNumberFormat="1" applyAlignment="1">
      <alignment horizontal="left"/>
    </xf>
    <xf numFmtId="0" fontId="0" fillId="0" borderId="0" xfId="0" applyFont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zoomScalePageLayoutView="0" workbookViewId="0" topLeftCell="A1">
      <pane ySplit="13" topLeftCell="BM41" activePane="bottomLeft" state="frozen"/>
      <selection pane="topLeft" activeCell="A1" sqref="A1"/>
      <selection pane="bottomLeft" activeCell="F66" sqref="F66"/>
    </sheetView>
  </sheetViews>
  <sheetFormatPr defaultColWidth="9.140625" defaultRowHeight="12.75"/>
  <cols>
    <col min="3" max="3" width="10.8515625" style="0" bestFit="1" customWidth="1"/>
    <col min="4" max="4" width="8.7109375" style="0" customWidth="1"/>
    <col min="5" max="5" width="20.00390625" style="21" customWidth="1"/>
    <col min="6" max="6" width="10.28125" style="0" customWidth="1"/>
    <col min="8" max="8" width="10.7109375" style="0" customWidth="1"/>
    <col min="10" max="10" width="10.8515625" style="0" bestFit="1" customWidth="1"/>
    <col min="11" max="11" width="8.57421875" style="0" customWidth="1"/>
  </cols>
  <sheetData>
    <row r="1" ht="18">
      <c r="A1" s="18" t="s">
        <v>105</v>
      </c>
    </row>
    <row r="2" spans="7:11" ht="12.75">
      <c r="G2" s="1" t="s">
        <v>53</v>
      </c>
      <c r="H2" s="1" t="s">
        <v>54</v>
      </c>
      <c r="J2" t="s">
        <v>104</v>
      </c>
      <c r="K2" s="1" t="s">
        <v>54</v>
      </c>
    </row>
    <row r="4" spans="1:11" ht="14.25">
      <c r="A4" s="36" t="s">
        <v>51</v>
      </c>
      <c r="B4" s="36"/>
      <c r="C4" s="19"/>
      <c r="D4" s="81">
        <f>Aflæsninger!E8</f>
        <v>3030</v>
      </c>
      <c r="E4" s="21" t="s">
        <v>74</v>
      </c>
      <c r="G4" s="56">
        <v>2819</v>
      </c>
      <c r="H4" s="42">
        <f>($D4-$G4)/$G4</f>
        <v>0.07484923731819794</v>
      </c>
      <c r="J4" s="56">
        <v>3030</v>
      </c>
      <c r="K4" s="42">
        <f>($J4-$D4)/$D4</f>
        <v>0</v>
      </c>
    </row>
    <row r="5" spans="1:10" ht="12.75">
      <c r="A5" s="36"/>
      <c r="B5" s="36"/>
      <c r="C5" s="19"/>
      <c r="D5" s="6"/>
      <c r="G5" s="6"/>
      <c r="J5" s="6"/>
    </row>
    <row r="6" spans="1:11" ht="12.75">
      <c r="A6" s="36" t="s">
        <v>33</v>
      </c>
      <c r="B6" s="36"/>
      <c r="C6" s="19"/>
      <c r="D6" s="56">
        <f>87112.5+53668.63</f>
        <v>140781.13</v>
      </c>
      <c r="E6" s="31" t="s">
        <v>42</v>
      </c>
      <c r="G6" s="56">
        <v>132998</v>
      </c>
      <c r="H6" s="42">
        <f>($D6-$G6)/$G6</f>
        <v>0.058520654445931554</v>
      </c>
      <c r="J6" s="56">
        <f>(31345.06+66018.97)*2</f>
        <v>194728.06</v>
      </c>
      <c r="K6" s="42">
        <f>($J6-$D6)/$D6</f>
        <v>0.3831971656996928</v>
      </c>
    </row>
    <row r="7" spans="1:10" ht="12.75">
      <c r="A7" s="107"/>
      <c r="B7" s="107"/>
      <c r="C7" s="3"/>
      <c r="E7" s="5"/>
      <c r="I7" s="3"/>
      <c r="J7" s="3"/>
    </row>
    <row r="8" spans="1:11" ht="14.25">
      <c r="A8" s="36" t="s">
        <v>52</v>
      </c>
      <c r="B8" s="36"/>
      <c r="C8" s="19"/>
      <c r="D8" s="44">
        <f>D6/D4</f>
        <v>46.46241914191419</v>
      </c>
      <c r="E8" s="21" t="s">
        <v>43</v>
      </c>
      <c r="G8" s="44">
        <f>G6/G4</f>
        <v>47.17914153955304</v>
      </c>
      <c r="H8" s="42">
        <f>($D8-$G8)/$G8</f>
        <v>-0.01519150993957736</v>
      </c>
      <c r="J8" s="44">
        <f>J6/J4</f>
        <v>64.26668646864687</v>
      </c>
      <c r="K8" s="42">
        <f>($J8-$D8)/$D8</f>
        <v>0.383197165699693</v>
      </c>
    </row>
    <row r="9" spans="1:3" ht="12.75">
      <c r="A9" s="3"/>
      <c r="B9" s="3"/>
      <c r="C9" s="3"/>
    </row>
    <row r="10" spans="1:8" ht="12.75">
      <c r="A10" s="3"/>
      <c r="B10" s="3"/>
      <c r="C10" s="3"/>
      <c r="G10" t="s">
        <v>46</v>
      </c>
      <c r="H10" s="21"/>
    </row>
    <row r="11" spans="1:10" ht="12.75">
      <c r="A11" s="7"/>
      <c r="B11" s="8"/>
      <c r="C11" s="8" t="s">
        <v>31</v>
      </c>
      <c r="D11" s="8"/>
      <c r="E11" s="30" t="s">
        <v>31</v>
      </c>
      <c r="F11" s="8" t="s">
        <v>31</v>
      </c>
      <c r="G11" s="8" t="s">
        <v>30</v>
      </c>
      <c r="H11" s="30" t="s">
        <v>70</v>
      </c>
      <c r="I11" s="8" t="s">
        <v>48</v>
      </c>
      <c r="J11" s="8" t="s">
        <v>31</v>
      </c>
    </row>
    <row r="12" spans="1:10" ht="12.75">
      <c r="A12" s="7"/>
      <c r="B12" s="8" t="s">
        <v>24</v>
      </c>
      <c r="C12" s="26" t="s">
        <v>40</v>
      </c>
      <c r="D12" s="8"/>
      <c r="E12" s="30" t="s">
        <v>41</v>
      </c>
      <c r="F12" s="8" t="s">
        <v>32</v>
      </c>
      <c r="G12" s="8" t="s">
        <v>34</v>
      </c>
      <c r="H12" s="30" t="s">
        <v>71</v>
      </c>
      <c r="I12" s="8" t="s">
        <v>50</v>
      </c>
      <c r="J12" s="8" t="s">
        <v>102</v>
      </c>
    </row>
    <row r="13" spans="1:10" ht="14.25">
      <c r="A13" s="8" t="s">
        <v>29</v>
      </c>
      <c r="B13" s="8" t="s">
        <v>23</v>
      </c>
      <c r="C13" s="8" t="s">
        <v>27</v>
      </c>
      <c r="D13" s="8"/>
      <c r="E13" s="30" t="s">
        <v>28</v>
      </c>
      <c r="F13" s="8" t="s">
        <v>28</v>
      </c>
      <c r="G13" s="8" t="s">
        <v>28</v>
      </c>
      <c r="H13" s="30"/>
      <c r="I13" s="8" t="s">
        <v>49</v>
      </c>
      <c r="J13" s="8" t="s">
        <v>103</v>
      </c>
    </row>
    <row r="14" spans="4:8" ht="12.75">
      <c r="D14" s="5"/>
      <c r="E14" s="5"/>
      <c r="F14" s="5"/>
      <c r="G14" s="1"/>
      <c r="H14" s="5"/>
    </row>
    <row r="15" spans="1:10" ht="12.75">
      <c r="A15" s="2" t="s">
        <v>0</v>
      </c>
      <c r="B15" s="92">
        <v>3</v>
      </c>
      <c r="C15" s="3"/>
      <c r="D15" s="5"/>
      <c r="E15" s="5"/>
      <c r="F15" s="5">
        <f>$E$16/$B$18*B15</f>
        <v>6535.713625962597</v>
      </c>
      <c r="G15" s="5">
        <f>'a conto'!B4</f>
        <v>6988</v>
      </c>
      <c r="H15" s="5">
        <f>F15-G15</f>
        <v>-452.2863740374032</v>
      </c>
      <c r="I15" s="5">
        <f>(F15)/6*(1+K$8)</f>
        <v>1506.6967605427212</v>
      </c>
      <c r="J15" s="5"/>
    </row>
    <row r="16" spans="1:10" ht="12.75">
      <c r="A16" s="2" t="s">
        <v>1</v>
      </c>
      <c r="B16" s="92">
        <v>1</v>
      </c>
      <c r="C16" s="35">
        <f>Aflæsninger!E12</f>
        <v>422</v>
      </c>
      <c r="D16" s="5"/>
      <c r="E16" s="5">
        <f>(C16*$D$8)</f>
        <v>19607.14087788779</v>
      </c>
      <c r="F16" s="5">
        <f>$E$16/$B$18*B16</f>
        <v>2178.571208654199</v>
      </c>
      <c r="G16" s="5">
        <f>'a conto'!B5</f>
        <v>1900</v>
      </c>
      <c r="H16" s="5">
        <f>F16-G16</f>
        <v>278.5712086541989</v>
      </c>
      <c r="I16" s="5">
        <f aca="true" t="shared" si="0" ref="I16:I50">(F16)/6*(1+K$8)</f>
        <v>502.2322535142404</v>
      </c>
      <c r="J16" s="5">
        <f>C16/B18</f>
        <v>46.888888888888886</v>
      </c>
    </row>
    <row r="17" spans="1:10" ht="12.75">
      <c r="A17" s="2" t="s">
        <v>2</v>
      </c>
      <c r="B17" s="93">
        <v>5</v>
      </c>
      <c r="C17" s="3"/>
      <c r="D17" s="5"/>
      <c r="E17" s="5"/>
      <c r="F17" s="5">
        <f>$E$16/$B$18*B17</f>
        <v>10892.856043270995</v>
      </c>
      <c r="G17" s="16">
        <f>'a conto'!B6</f>
        <v>9500</v>
      </c>
      <c r="H17" s="16">
        <f>F17-G17</f>
        <v>1392.8560432709946</v>
      </c>
      <c r="I17" s="16">
        <f t="shared" si="0"/>
        <v>2511.161267571202</v>
      </c>
      <c r="J17" s="16"/>
    </row>
    <row r="18" spans="1:10" ht="12.75">
      <c r="A18" s="9" t="s">
        <v>35</v>
      </c>
      <c r="B18" s="25">
        <f>SUM(B15:B17)</f>
        <v>9</v>
      </c>
      <c r="C18" s="10"/>
      <c r="D18" s="11"/>
      <c r="E18" s="11"/>
      <c r="F18" s="11"/>
      <c r="G18" s="5" t="s">
        <v>3</v>
      </c>
      <c r="H18" s="5"/>
      <c r="I18" s="5"/>
      <c r="J18" s="5"/>
    </row>
    <row r="19" spans="1:10" ht="12.75">
      <c r="A19" s="12" t="s">
        <v>4</v>
      </c>
      <c r="B19" s="92">
        <v>2</v>
      </c>
      <c r="C19" s="46"/>
      <c r="D19" s="14"/>
      <c r="E19" s="14"/>
      <c r="F19" s="5">
        <f>$E$20/$B$22*B19</f>
        <v>2915.5168011551154</v>
      </c>
      <c r="G19" s="5">
        <f>'a conto'!B7</f>
        <v>3244</v>
      </c>
      <c r="H19" s="5">
        <f>F19-G19</f>
        <v>-328.48319884488456</v>
      </c>
      <c r="I19" s="5">
        <f t="shared" si="0"/>
        <v>672.1224293179318</v>
      </c>
      <c r="J19" s="5"/>
    </row>
    <row r="20" spans="1:10" ht="12.75">
      <c r="A20" s="12" t="s">
        <v>5</v>
      </c>
      <c r="B20" s="92">
        <v>2</v>
      </c>
      <c r="C20" s="77">
        <f>Aflæsninger!E13</f>
        <v>251</v>
      </c>
      <c r="D20" s="5"/>
      <c r="E20" s="14">
        <f>C20*$D$8</f>
        <v>11662.067204620462</v>
      </c>
      <c r="F20" s="5">
        <f>$E$20/$B$22*B20</f>
        <v>2915.5168011551154</v>
      </c>
      <c r="G20" s="5">
        <f>'a conto'!B8</f>
        <v>3206</v>
      </c>
      <c r="H20" s="5">
        <f>F20-G20</f>
        <v>-290.48319884488456</v>
      </c>
      <c r="I20" s="5">
        <f t="shared" si="0"/>
        <v>672.1224293179318</v>
      </c>
      <c r="J20" s="5">
        <f>C20/B22</f>
        <v>31.375</v>
      </c>
    </row>
    <row r="21" spans="1:10" ht="12.75">
      <c r="A21" s="15" t="s">
        <v>6</v>
      </c>
      <c r="B21" s="93">
        <v>4</v>
      </c>
      <c r="C21" s="45"/>
      <c r="D21" s="16"/>
      <c r="E21" s="16"/>
      <c r="F21" s="16">
        <f>$E$20/$B$22*B21</f>
        <v>5831.033602310231</v>
      </c>
      <c r="G21" s="16">
        <f>'a conto'!B10</f>
        <v>6484</v>
      </c>
      <c r="H21" s="16">
        <f>F21-G21</f>
        <v>-652.9663976897691</v>
      </c>
      <c r="I21" s="16">
        <f t="shared" si="0"/>
        <v>1344.2448586358637</v>
      </c>
      <c r="J21" s="16"/>
    </row>
    <row r="22" spans="1:10" ht="12.75">
      <c r="A22" s="2" t="s">
        <v>35</v>
      </c>
      <c r="B22" s="25">
        <f>SUM(B19:B21)</f>
        <v>8</v>
      </c>
      <c r="C22" s="4"/>
      <c r="D22" s="5"/>
      <c r="E22" s="5"/>
      <c r="F22" s="5"/>
      <c r="G22" s="5"/>
      <c r="H22" s="5"/>
      <c r="I22" s="5"/>
      <c r="J22" s="5"/>
    </row>
    <row r="23" spans="1:10" ht="12.75">
      <c r="A23" s="2" t="s">
        <v>7</v>
      </c>
      <c r="B23" s="92">
        <v>2</v>
      </c>
      <c r="C23" s="35">
        <f>Aflæsninger!E14</f>
        <v>161</v>
      </c>
      <c r="D23" s="5"/>
      <c r="E23" s="5">
        <f>C23*$D$8</f>
        <v>7480.449481848184</v>
      </c>
      <c r="F23" s="5">
        <f>$E$23/$B$25*B23</f>
        <v>2493.4831606160615</v>
      </c>
      <c r="G23" s="5">
        <f>'a conto'!B11</f>
        <v>2832</v>
      </c>
      <c r="H23" s="5">
        <f>F23-G23</f>
        <v>-338.51683938393853</v>
      </c>
      <c r="I23" s="5">
        <f t="shared" si="0"/>
        <v>574.8298067473414</v>
      </c>
      <c r="J23" s="5">
        <f>C23/B25</f>
        <v>26.833333333333332</v>
      </c>
    </row>
    <row r="24" spans="1:10" ht="12.75">
      <c r="A24" s="2" t="s">
        <v>8</v>
      </c>
      <c r="B24" s="93">
        <v>4</v>
      </c>
      <c r="C24" s="35"/>
      <c r="D24" s="5"/>
      <c r="E24" s="5"/>
      <c r="F24" s="5">
        <f>$E$23/$B$25*B24</f>
        <v>4986.966321232123</v>
      </c>
      <c r="G24" s="16">
        <f>'a conto'!B12</f>
        <v>5662</v>
      </c>
      <c r="H24" s="16">
        <f>F24-G24</f>
        <v>-675.0336787678771</v>
      </c>
      <c r="I24" s="16">
        <f t="shared" si="0"/>
        <v>1149.6596134946828</v>
      </c>
      <c r="J24" s="16"/>
    </row>
    <row r="25" spans="1:10" ht="12.75">
      <c r="A25" s="9" t="s">
        <v>35</v>
      </c>
      <c r="B25" s="25">
        <f>SUM(B23:B24)</f>
        <v>6</v>
      </c>
      <c r="C25" s="79"/>
      <c r="D25" s="11"/>
      <c r="E25" s="11"/>
      <c r="F25" s="11"/>
      <c r="G25" s="5"/>
      <c r="H25" s="5"/>
      <c r="I25" s="5"/>
      <c r="J25" s="5"/>
    </row>
    <row r="26" spans="1:10" ht="12.75">
      <c r="A26" s="12" t="s">
        <v>9</v>
      </c>
      <c r="B26" s="92">
        <v>4</v>
      </c>
      <c r="C26" s="77"/>
      <c r="D26" s="14"/>
      <c r="E26" s="14"/>
      <c r="F26" s="5">
        <f>$E$27/$B$29*B26</f>
        <v>5249.774369024532</v>
      </c>
      <c r="G26" s="5">
        <f>'a conto'!B13</f>
        <v>5912</v>
      </c>
      <c r="H26" s="5">
        <f>F26-G26</f>
        <v>-662.2256309754684</v>
      </c>
      <c r="I26" s="5">
        <f t="shared" si="0"/>
        <v>1210.2455046329378</v>
      </c>
      <c r="J26" s="5"/>
    </row>
    <row r="27" spans="1:10" ht="12.75">
      <c r="A27" s="12" t="s">
        <v>10</v>
      </c>
      <c r="B27" s="92">
        <v>3</v>
      </c>
      <c r="C27" s="77">
        <f>Aflæsninger!E15</f>
        <v>274</v>
      </c>
      <c r="D27" s="5"/>
      <c r="E27" s="14">
        <f>C27*$D$8</f>
        <v>12730.702844884489</v>
      </c>
      <c r="F27" s="5">
        <f>$E$27/$B$29*B27</f>
        <v>3937.3307767683987</v>
      </c>
      <c r="G27" s="5">
        <f>'a conto'!B14</f>
        <v>5192</v>
      </c>
      <c r="H27" s="5">
        <f>F27-G27</f>
        <v>-1254.6692232316013</v>
      </c>
      <c r="I27" s="5">
        <f t="shared" si="0"/>
        <v>907.6841284747034</v>
      </c>
      <c r="J27" s="5">
        <f>C27/B29</f>
        <v>28.247422680412374</v>
      </c>
    </row>
    <row r="28" spans="1:10" ht="12.75">
      <c r="A28" s="15" t="s">
        <v>11</v>
      </c>
      <c r="B28" s="93">
        <v>2.7</v>
      </c>
      <c r="C28" s="80"/>
      <c r="D28" s="16"/>
      <c r="E28" s="16"/>
      <c r="F28" s="16">
        <f>$E$27/$B$29*B28</f>
        <v>3543.597699091559</v>
      </c>
      <c r="G28" s="16">
        <f>'a conto'!B15</f>
        <v>3712</v>
      </c>
      <c r="H28" s="16">
        <f>F28-G28</f>
        <v>-168.4023009084408</v>
      </c>
      <c r="I28" s="16">
        <f t="shared" si="0"/>
        <v>816.9157156272331</v>
      </c>
      <c r="J28" s="16"/>
    </row>
    <row r="29" spans="1:10" ht="12.75">
      <c r="A29" s="2" t="s">
        <v>35</v>
      </c>
      <c r="B29" s="4">
        <f>SUM(B26:B28)</f>
        <v>9.7</v>
      </c>
      <c r="C29" s="57"/>
      <c r="D29" s="5"/>
      <c r="E29" s="5"/>
      <c r="F29" s="5"/>
      <c r="G29" s="5"/>
      <c r="H29" s="5"/>
      <c r="I29" s="5"/>
      <c r="J29" s="5"/>
    </row>
    <row r="30" spans="1:10" ht="12.75">
      <c r="A30" s="2">
        <v>12</v>
      </c>
      <c r="B30" s="92">
        <v>4</v>
      </c>
      <c r="C30" s="35"/>
      <c r="D30" s="5"/>
      <c r="E30" s="5"/>
      <c r="F30" s="5">
        <f>$E$31/$B$33*B30</f>
        <v>9236.72892541254</v>
      </c>
      <c r="G30" s="5">
        <f>'a conto'!B16</f>
        <v>5868</v>
      </c>
      <c r="H30" s="5">
        <f aca="true" t="shared" si="1" ref="H30:H36">F30-G30</f>
        <v>3368.728925412541</v>
      </c>
      <c r="I30" s="5">
        <f t="shared" si="0"/>
        <v>2129.3695449945</v>
      </c>
      <c r="J30" s="5"/>
    </row>
    <row r="31" spans="1:10" ht="12.75">
      <c r="A31" s="2">
        <v>13</v>
      </c>
      <c r="B31" s="92">
        <v>1</v>
      </c>
      <c r="C31" s="35">
        <f>Aflæsninger!E16</f>
        <v>497</v>
      </c>
      <c r="D31" s="5"/>
      <c r="E31" s="5">
        <f>C31*$D$8</f>
        <v>23091.822313531353</v>
      </c>
      <c r="F31" s="5">
        <f>$E$31/$B$33*B31</f>
        <v>2309.182231353135</v>
      </c>
      <c r="G31" s="5">
        <f>'a conto'!B17</f>
        <v>1468</v>
      </c>
      <c r="H31" s="5">
        <f t="shared" si="1"/>
        <v>841.1822313531352</v>
      </c>
      <c r="I31" s="5">
        <f t="shared" si="0"/>
        <v>532.342386248625</v>
      </c>
      <c r="J31" s="5">
        <f>C31/B33</f>
        <v>49.7</v>
      </c>
    </row>
    <row r="32" spans="1:10" ht="12.75">
      <c r="A32" s="2">
        <v>14</v>
      </c>
      <c r="B32" s="93">
        <v>5</v>
      </c>
      <c r="C32" s="35"/>
      <c r="D32" s="5"/>
      <c r="E32" s="5"/>
      <c r="F32" s="5">
        <f>$E$31/$B$33*B32</f>
        <v>11545.911156765676</v>
      </c>
      <c r="G32" s="16">
        <f>'a conto'!B18</f>
        <v>7336</v>
      </c>
      <c r="H32" s="16">
        <f t="shared" si="1"/>
        <v>4209.911156765676</v>
      </c>
      <c r="I32" s="16">
        <f t="shared" si="0"/>
        <v>2661.711931243125</v>
      </c>
      <c r="J32" s="16"/>
    </row>
    <row r="33" spans="1:10" ht="12.75">
      <c r="A33" s="9" t="s">
        <v>35</v>
      </c>
      <c r="B33" s="25">
        <f>SUM(B30:B32)</f>
        <v>10</v>
      </c>
      <c r="C33" s="79"/>
      <c r="D33" s="11"/>
      <c r="E33" s="11"/>
      <c r="F33" s="11"/>
      <c r="G33" s="5"/>
      <c r="H33" s="5"/>
      <c r="I33" s="5"/>
      <c r="J33" s="5"/>
    </row>
    <row r="34" spans="1:10" ht="12.75">
      <c r="A34" s="12" t="s">
        <v>12</v>
      </c>
      <c r="B34" s="92">
        <v>2</v>
      </c>
      <c r="C34" s="77"/>
      <c r="D34" s="14"/>
      <c r="E34" s="14"/>
      <c r="F34" s="5">
        <f>$E$35/$B$37*B34</f>
        <v>3933.8181540154014</v>
      </c>
      <c r="G34" s="5">
        <f>'a conto'!B19</f>
        <v>3646</v>
      </c>
      <c r="H34" s="5">
        <f t="shared" si="1"/>
        <v>287.81815401540143</v>
      </c>
      <c r="I34" s="5">
        <f t="shared" si="0"/>
        <v>906.874353502017</v>
      </c>
      <c r="J34" s="5"/>
    </row>
    <row r="35" spans="1:10" ht="12.75">
      <c r="A35" s="12" t="s">
        <v>22</v>
      </c>
      <c r="B35" s="92">
        <v>2</v>
      </c>
      <c r="C35" s="77">
        <f>Aflæsninger!E17</f>
        <v>254</v>
      </c>
      <c r="D35" s="5"/>
      <c r="E35" s="14">
        <f>C35*$D$8</f>
        <v>11801.454462046204</v>
      </c>
      <c r="F35" s="5">
        <f>$E$35/$B$37*B35</f>
        <v>3933.8181540154014</v>
      </c>
      <c r="G35" s="5">
        <f>'a conto'!B20</f>
        <v>3646</v>
      </c>
      <c r="H35" s="5">
        <f t="shared" si="1"/>
        <v>287.81815401540143</v>
      </c>
      <c r="I35" s="5">
        <f t="shared" si="0"/>
        <v>906.874353502017</v>
      </c>
      <c r="J35" s="5">
        <f>C35/B37</f>
        <v>42.333333333333336</v>
      </c>
    </row>
    <row r="36" spans="1:10" ht="12.75">
      <c r="A36" s="15" t="s">
        <v>13</v>
      </c>
      <c r="B36" s="93">
        <v>2</v>
      </c>
      <c r="C36" s="80"/>
      <c r="D36" s="16"/>
      <c r="E36" s="16"/>
      <c r="F36" s="5">
        <f>$E$35/$B$37*B36</f>
        <v>3933.8181540154014</v>
      </c>
      <c r="G36" s="16">
        <f>'a conto'!B21</f>
        <v>3646</v>
      </c>
      <c r="H36" s="16">
        <f t="shared" si="1"/>
        <v>287.81815401540143</v>
      </c>
      <c r="I36" s="16">
        <f t="shared" si="0"/>
        <v>906.874353502017</v>
      </c>
      <c r="J36" s="16"/>
    </row>
    <row r="37" spans="1:10" ht="12.75">
      <c r="A37" s="2" t="s">
        <v>35</v>
      </c>
      <c r="B37" s="25">
        <f>SUM(B34:B36)</f>
        <v>6</v>
      </c>
      <c r="C37" s="57"/>
      <c r="D37" s="5"/>
      <c r="E37" s="5"/>
      <c r="F37" s="11"/>
      <c r="G37" s="5"/>
      <c r="H37" s="5"/>
      <c r="I37" s="5"/>
      <c r="J37" s="5"/>
    </row>
    <row r="38" spans="1:10" ht="12.75">
      <c r="A38" s="2" t="s">
        <v>14</v>
      </c>
      <c r="B38" s="92">
        <v>3</v>
      </c>
      <c r="C38" s="35"/>
      <c r="D38" s="5"/>
      <c r="E38" s="5"/>
      <c r="F38" s="5">
        <f>$E$39/$B$41*B38</f>
        <v>4274.542561056105</v>
      </c>
      <c r="G38" s="5">
        <f>'a conto'!B22</f>
        <v>4664</v>
      </c>
      <c r="H38" s="5">
        <f>F38-G38</f>
        <v>-389.4574389438949</v>
      </c>
      <c r="I38" s="5">
        <f t="shared" si="0"/>
        <v>985.4225258525853</v>
      </c>
      <c r="J38" s="5"/>
    </row>
    <row r="39" spans="1:10" ht="12.75">
      <c r="A39" s="2" t="s">
        <v>15</v>
      </c>
      <c r="B39" s="92">
        <v>2</v>
      </c>
      <c r="C39" s="35">
        <f>Aflæsninger!E18</f>
        <v>276</v>
      </c>
      <c r="D39" s="5"/>
      <c r="E39" s="5">
        <f>C39*$D$8</f>
        <v>12823.627683168317</v>
      </c>
      <c r="F39" s="5">
        <f>$E$39/$B$41*B39</f>
        <v>2849.6950407040704</v>
      </c>
      <c r="G39" s="5">
        <f>'a conto'!B23</f>
        <v>3010</v>
      </c>
      <c r="H39" s="5">
        <f>F39-G39</f>
        <v>-160.30495929592962</v>
      </c>
      <c r="I39" s="5">
        <f t="shared" si="0"/>
        <v>656.9483505683903</v>
      </c>
      <c r="J39" s="5">
        <f>C39/B41</f>
        <v>30.666666666666668</v>
      </c>
    </row>
    <row r="40" spans="1:10" ht="12.75">
      <c r="A40" s="2" t="s">
        <v>16</v>
      </c>
      <c r="B40" s="92">
        <v>4</v>
      </c>
      <c r="C40" s="35"/>
      <c r="D40" s="5"/>
      <c r="E40" s="5"/>
      <c r="F40" s="5">
        <f>$E$39/$B$41*B40</f>
        <v>5699.390081408141</v>
      </c>
      <c r="G40" s="16">
        <f>'a conto'!B24</f>
        <v>6018</v>
      </c>
      <c r="H40" s="16">
        <f>F40-G40</f>
        <v>-318.60991859185924</v>
      </c>
      <c r="I40" s="16">
        <f t="shared" si="0"/>
        <v>1313.8967011367806</v>
      </c>
      <c r="J40" s="16"/>
    </row>
    <row r="41" spans="1:10" ht="12.75">
      <c r="A41" s="9" t="s">
        <v>35</v>
      </c>
      <c r="B41" s="23">
        <f>SUM(B38:B40)</f>
        <v>9</v>
      </c>
      <c r="C41" s="79"/>
      <c r="D41" s="11"/>
      <c r="E41" s="11"/>
      <c r="F41" s="11"/>
      <c r="G41" s="5"/>
      <c r="H41" s="5"/>
      <c r="I41" s="5"/>
      <c r="J41" s="5"/>
    </row>
    <row r="42" spans="1:10" ht="12.75">
      <c r="A42" s="12" t="s">
        <v>17</v>
      </c>
      <c r="B42" s="92">
        <v>4</v>
      </c>
      <c r="C42" s="77"/>
      <c r="D42" s="14"/>
      <c r="E42" s="14"/>
      <c r="F42" s="5">
        <f>$E$43/$B$45*B42</f>
        <v>4125.862819801981</v>
      </c>
      <c r="G42" s="5">
        <f>'a conto'!B25</f>
        <v>4714</v>
      </c>
      <c r="H42" s="5">
        <f>F42-G42</f>
        <v>-588.1371801980195</v>
      </c>
      <c r="I42" s="5">
        <f t="shared" si="0"/>
        <v>951.1469597359738</v>
      </c>
      <c r="J42" s="5"/>
    </row>
    <row r="43" spans="1:10" ht="12.75">
      <c r="A43" s="12" t="s">
        <v>18</v>
      </c>
      <c r="B43" s="92">
        <v>2</v>
      </c>
      <c r="C43" s="77">
        <f>Aflæsninger!E19</f>
        <v>222</v>
      </c>
      <c r="D43" s="5"/>
      <c r="E43" s="14">
        <f>C43*$D$8</f>
        <v>10314.657049504951</v>
      </c>
      <c r="F43" s="5">
        <f>$E$43/$B$45*B43</f>
        <v>2062.9314099009903</v>
      </c>
      <c r="G43" s="5">
        <f>'a conto'!B26</f>
        <v>2360</v>
      </c>
      <c r="H43" s="5">
        <f>F43-G43</f>
        <v>-297.0685900990097</v>
      </c>
      <c r="I43" s="5">
        <f t="shared" si="0"/>
        <v>475.5734798679869</v>
      </c>
      <c r="J43" s="5">
        <f>C43/B45</f>
        <v>22.2</v>
      </c>
    </row>
    <row r="44" spans="1:10" ht="12.75">
      <c r="A44" s="15" t="s">
        <v>19</v>
      </c>
      <c r="B44" s="93">
        <v>4</v>
      </c>
      <c r="C44" s="80"/>
      <c r="D44" s="16"/>
      <c r="E44" s="16"/>
      <c r="F44" s="16">
        <f>$E$43/$B$45*B44</f>
        <v>4125.862819801981</v>
      </c>
      <c r="G44" s="16">
        <f>'a conto'!B27</f>
        <v>4650</v>
      </c>
      <c r="H44" s="16">
        <f>F44-G44</f>
        <v>-524.1371801980195</v>
      </c>
      <c r="I44" s="16">
        <f t="shared" si="0"/>
        <v>951.1469597359738</v>
      </c>
      <c r="J44" s="16"/>
    </row>
    <row r="45" spans="1:10" ht="12.75">
      <c r="A45" s="2" t="s">
        <v>35</v>
      </c>
      <c r="B45" s="4">
        <f>SUM(B42:B44)</f>
        <v>10</v>
      </c>
      <c r="C45" s="57"/>
      <c r="D45" s="5"/>
      <c r="E45" s="5" t="s">
        <v>3</v>
      </c>
      <c r="F45" s="5"/>
      <c r="G45" s="5"/>
      <c r="H45" s="5"/>
      <c r="I45" s="5"/>
      <c r="J45" s="5"/>
    </row>
    <row r="46" spans="1:11" ht="12.75">
      <c r="A46" s="2" t="s">
        <v>20</v>
      </c>
      <c r="B46" s="92">
        <v>1.15</v>
      </c>
      <c r="C46" s="35">
        <f>Aflæsninger!E20</f>
        <v>31</v>
      </c>
      <c r="D46" s="5"/>
      <c r="E46" s="5"/>
      <c r="F46" s="5">
        <f>($C46+D$49*B46/B$48)*$D$8</f>
        <v>2045.2230916619962</v>
      </c>
      <c r="G46" s="5">
        <f>'a conto'!B28</f>
        <v>2570</v>
      </c>
      <c r="H46" s="5">
        <f>F46-G46</f>
        <v>-524.7769083380038</v>
      </c>
      <c r="I46" s="5">
        <f t="shared" si="0"/>
        <v>471.4911306017394</v>
      </c>
      <c r="J46" s="5">
        <f>C46/B46</f>
        <v>26.956521739130437</v>
      </c>
      <c r="K46" t="s">
        <v>72</v>
      </c>
    </row>
    <row r="47" spans="1:11" ht="12.75">
      <c r="A47" s="15" t="s">
        <v>21</v>
      </c>
      <c r="B47" s="93">
        <v>1.5</v>
      </c>
      <c r="C47" s="80">
        <f>Aflæsninger!E21</f>
        <v>22</v>
      </c>
      <c r="D47" s="16"/>
      <c r="E47" s="16"/>
      <c r="F47" s="16">
        <f>($C47+D$49*B47/B$48)*$D$8</f>
        <v>1811.1576971168815</v>
      </c>
      <c r="G47" s="16">
        <f>'a conto'!B29</f>
        <v>2108</v>
      </c>
      <c r="H47" s="16">
        <f>F47-G47</f>
        <v>-296.84230288311846</v>
      </c>
      <c r="I47" s="16">
        <f t="shared" si="0"/>
        <v>417.5313655478756</v>
      </c>
      <c r="J47" s="16">
        <f>C47/B47</f>
        <v>14.666666666666666</v>
      </c>
      <c r="K47" t="s">
        <v>72</v>
      </c>
    </row>
    <row r="48" spans="1:10" ht="12.75">
      <c r="A48" s="2" t="s">
        <v>35</v>
      </c>
      <c r="B48" s="57">
        <f>SUM(B46:B47)</f>
        <v>2.65</v>
      </c>
      <c r="C48" s="34"/>
      <c r="D48" s="5"/>
      <c r="E48" s="5"/>
      <c r="F48" s="5"/>
      <c r="G48" s="5"/>
      <c r="H48" s="5"/>
      <c r="I48" s="5"/>
      <c r="J48" s="5"/>
    </row>
    <row r="49" spans="1:11" ht="12.75">
      <c r="A49" s="2" t="s">
        <v>25</v>
      </c>
      <c r="B49" s="92">
        <v>2.33</v>
      </c>
      <c r="C49" s="35">
        <f>Aflæsninger!E26</f>
        <v>213</v>
      </c>
      <c r="D49" s="33">
        <f>Aflæsninger!E27</f>
        <v>30</v>
      </c>
      <c r="E49" s="5">
        <f>(C49-D49)*D8</f>
        <v>8502.622702970297</v>
      </c>
      <c r="F49" s="5">
        <f>$E$49/$B$51*B49</f>
        <v>3129.7173614408835</v>
      </c>
      <c r="G49" s="5">
        <f>'a conto'!B30</f>
        <v>3296</v>
      </c>
      <c r="H49" s="5">
        <f>F49-G49</f>
        <v>-166.28263855911655</v>
      </c>
      <c r="I49" s="5">
        <f t="shared" si="0"/>
        <v>721.5026972976921</v>
      </c>
      <c r="J49" s="5">
        <f>C49/B51</f>
        <v>33.649289099526065</v>
      </c>
      <c r="K49" t="s">
        <v>73</v>
      </c>
    </row>
    <row r="50" spans="1:10" ht="12.75">
      <c r="A50" s="2" t="s">
        <v>26</v>
      </c>
      <c r="B50" s="92">
        <v>4</v>
      </c>
      <c r="C50" s="35"/>
      <c r="D50" s="5"/>
      <c r="E50" s="5"/>
      <c r="F50" s="5">
        <f>$E$49/$B$51*B50</f>
        <v>5372.905341529414</v>
      </c>
      <c r="G50" s="5">
        <f>'a conto'!B31</f>
        <v>5114</v>
      </c>
      <c r="H50" s="16">
        <f>F50-G50</f>
        <v>258.9053415294138</v>
      </c>
      <c r="I50" s="16">
        <f t="shared" si="0"/>
        <v>1238.6312399960377</v>
      </c>
      <c r="J50" s="16"/>
    </row>
    <row r="51" spans="1:10" ht="12.75">
      <c r="A51" s="17" t="s">
        <v>35</v>
      </c>
      <c r="B51" s="24">
        <f>SUM(B49:B50)</f>
        <v>6.33</v>
      </c>
      <c r="C51" s="10"/>
      <c r="D51" s="11"/>
      <c r="E51" s="11"/>
      <c r="F51" s="11"/>
      <c r="G51" s="11"/>
      <c r="H51" s="5"/>
      <c r="I51" s="14"/>
      <c r="J51" s="14"/>
    </row>
    <row r="52" spans="1:11" ht="12.75">
      <c r="A52" s="13"/>
      <c r="B52" s="40"/>
      <c r="C52" s="41"/>
      <c r="D52" s="14"/>
      <c r="E52" s="14"/>
      <c r="F52" s="14"/>
      <c r="G52" s="14"/>
      <c r="H52" s="14"/>
      <c r="I52" s="14"/>
      <c r="J52" s="14"/>
      <c r="K52" s="20"/>
    </row>
    <row r="53" spans="1:11" ht="13.5" thickBot="1">
      <c r="A53" s="22" t="s">
        <v>38</v>
      </c>
      <c r="B53" s="22"/>
      <c r="C53" s="32">
        <f>SUM(C14:C50)</f>
        <v>2623</v>
      </c>
      <c r="D53" s="5" t="s">
        <v>36</v>
      </c>
      <c r="E53" s="5">
        <f>SUM(F14:F50)</f>
        <v>121870.92540924097</v>
      </c>
      <c r="F53" t="s">
        <v>37</v>
      </c>
      <c r="G53" s="21"/>
      <c r="I53" s="103">
        <f>(E53)/6*(1+K$8)</f>
        <v>28095.25310121014</v>
      </c>
      <c r="K53" s="20"/>
    </row>
    <row r="54" spans="1:10" ht="13.5" thickTop="1">
      <c r="A54" s="106" t="s">
        <v>39</v>
      </c>
      <c r="B54" s="106"/>
      <c r="C54" s="78">
        <f>Aflæsninger!E23</f>
        <v>533</v>
      </c>
      <c r="D54" s="5" t="s">
        <v>36</v>
      </c>
      <c r="E54" s="5">
        <f>C54*$D$8</f>
        <v>24764.46940264026</v>
      </c>
      <c r="F54" s="27" t="s">
        <v>37</v>
      </c>
      <c r="G54" s="5"/>
      <c r="H54" s="5"/>
      <c r="I54" s="32">
        <f>(E54)/6*(1+K$8)</f>
        <v>5709.02398129813</v>
      </c>
      <c r="J54" s="5"/>
    </row>
    <row r="55" spans="1:11" ht="12.75">
      <c r="A55" s="22" t="s">
        <v>44</v>
      </c>
      <c r="B55" s="22"/>
      <c r="C55" s="32">
        <f>C53+C54</f>
        <v>3156</v>
      </c>
      <c r="D55" s="5" t="s">
        <v>36</v>
      </c>
      <c r="E55" s="5">
        <f>E53+E54</f>
        <v>146635.39481188124</v>
      </c>
      <c r="F55" s="27" t="s">
        <v>37</v>
      </c>
      <c r="G55" s="5"/>
      <c r="H55" s="38"/>
      <c r="I55" s="32">
        <f>(E55)/6*(1+K$8)</f>
        <v>33804.27708250827</v>
      </c>
      <c r="J55" s="38"/>
      <c r="K55" s="38"/>
    </row>
    <row r="56" spans="1:10" ht="12.75">
      <c r="A56" s="29" t="s">
        <v>55</v>
      </c>
      <c r="B56" s="1"/>
      <c r="C56" s="32">
        <f>D4-C55</f>
        <v>-126</v>
      </c>
      <c r="D56" s="5" t="s">
        <v>36</v>
      </c>
      <c r="E56" s="5">
        <f>D6-E55</f>
        <v>-5854.264811881236</v>
      </c>
      <c r="F56" s="27" t="s">
        <v>37</v>
      </c>
      <c r="G56" s="5"/>
      <c r="H56" s="5"/>
      <c r="I56" s="32">
        <f>(E56)/6*(1+K$8)</f>
        <v>-1349.6004158415953</v>
      </c>
      <c r="J56" s="5"/>
    </row>
    <row r="57" spans="1:9" s="37" customFormat="1" ht="12.75">
      <c r="A57" s="37" t="s">
        <v>45</v>
      </c>
      <c r="C57" s="38">
        <f>C55+C56</f>
        <v>3030</v>
      </c>
      <c r="D57" s="38" t="s">
        <v>36</v>
      </c>
      <c r="E57" s="38">
        <f>E55+E56</f>
        <v>140781.13</v>
      </c>
      <c r="F57" s="39" t="s">
        <v>37</v>
      </c>
      <c r="I57" s="32">
        <f>(E57)/6*(1+K$8)</f>
        <v>32454.676666666674</v>
      </c>
    </row>
    <row r="58" spans="1:10" ht="12.75">
      <c r="A58" s="2"/>
      <c r="B58" s="1"/>
      <c r="C58" s="1"/>
      <c r="D58" s="5"/>
      <c r="E58" s="5"/>
      <c r="F58" s="5"/>
      <c r="G58" s="5"/>
      <c r="H58" s="5"/>
      <c r="I58" s="5"/>
      <c r="J58" s="5"/>
    </row>
    <row r="59" ht="12.75">
      <c r="A59" t="s">
        <v>100</v>
      </c>
    </row>
    <row r="61" spans="1:9" ht="12.75">
      <c r="A61" s="36" t="s">
        <v>47</v>
      </c>
      <c r="C61" s="33">
        <f>C56+C54</f>
        <v>407</v>
      </c>
      <c r="D61" s="35" t="s">
        <v>36</v>
      </c>
      <c r="E61" s="33">
        <f>E56+E54</f>
        <v>18910.204590759025</v>
      </c>
      <c r="F61" s="27" t="s">
        <v>37</v>
      </c>
      <c r="G61" s="5">
        <f>'a conto'!B32</f>
        <v>24764.46940264026</v>
      </c>
      <c r="H61" s="5">
        <f>E61-G61</f>
        <v>-5854.264811881236</v>
      </c>
      <c r="I61" s="109"/>
    </row>
    <row r="62" spans="1:8" ht="12.75">
      <c r="A62" s="110" t="s">
        <v>106</v>
      </c>
      <c r="B62" s="110"/>
      <c r="C62" s="93">
        <v>170</v>
      </c>
      <c r="D62" s="111" t="s">
        <v>36</v>
      </c>
      <c r="E62" s="16">
        <f>C62*D8</f>
        <v>7898.611254125412</v>
      </c>
      <c r="F62" s="110" t="s">
        <v>37</v>
      </c>
      <c r="G62" s="110"/>
      <c r="H62" s="16">
        <f>E62</f>
        <v>7898.611254125412</v>
      </c>
    </row>
    <row r="63" spans="1:9" ht="13.5" thickBot="1">
      <c r="A63" s="36" t="s">
        <v>107</v>
      </c>
      <c r="C63" s="33">
        <f>C61-C62</f>
        <v>237</v>
      </c>
      <c r="D63" s="35" t="s">
        <v>36</v>
      </c>
      <c r="E63" s="33">
        <f>E61-E62</f>
        <v>11011.593336633614</v>
      </c>
      <c r="F63" s="27" t="s">
        <v>37</v>
      </c>
      <c r="G63" s="5"/>
      <c r="H63" s="108">
        <f>H61-H62</f>
        <v>-13752.876066006647</v>
      </c>
      <c r="I63" s="104">
        <f>(E63)/6*(1+K$8)</f>
        <v>2538.53411551154</v>
      </c>
    </row>
    <row r="64" ht="13.5" thickTop="1"/>
    <row r="65" ht="12.75">
      <c r="A65" t="s">
        <v>99</v>
      </c>
    </row>
    <row r="66" ht="12.75">
      <c r="A66" s="28"/>
    </row>
  </sheetData>
  <sheetProtection password="F3CB" sheet="1" objects="1" scenarios="1"/>
  <protectedRanges>
    <protectedRange sqref="J4:J6" name="Omr?de13"/>
    <protectedRange sqref="D6" name="Omr?de1_1_1"/>
    <protectedRange sqref="B46:C50" name="Omr?de11_1_1_1"/>
    <protectedRange sqref="B42:C44" name="Omr?de10_1_1_1"/>
    <protectedRange sqref="B38:C40" name="Omr?de9_1_1_1"/>
    <protectedRange sqref="B34:C36" name="Omr?de8_1_1_1"/>
    <protectedRange sqref="B30:C32" name="Omr?de7_1_1_1"/>
    <protectedRange sqref="B26:C28" name="Omr?de6_1_1_1"/>
    <protectedRange sqref="B15:C17" name="Omr?de3_1_1_1"/>
    <protectedRange sqref="B19:C21" name="Omr?de4_1_1_1"/>
    <protectedRange sqref="B23:C24" name="Omr?de5_1_1_1"/>
    <protectedRange sqref="A1" name="Omr?de12"/>
  </protectedRanges>
  <mergeCells count="2">
    <mergeCell ref="A54:B54"/>
    <mergeCell ref="A7:B7"/>
  </mergeCells>
  <printOptions/>
  <pageMargins left="0.75" right="0.75" top="1" bottom="1" header="0.5" footer="0.5"/>
  <pageSetup fitToHeight="1" fitToWidth="1" horizontalDpi="300" verticalDpi="300" orientation="portrait" paperSize="9" scale="61" r:id="rId1"/>
  <headerFooter alignWithMargins="0"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19.8515625" style="0" customWidth="1"/>
    <col min="2" max="2" width="2.7109375" style="0" customWidth="1"/>
    <col min="3" max="4" width="12.7109375" style="0" customWidth="1"/>
    <col min="5" max="5" width="13.7109375" style="0" customWidth="1"/>
    <col min="6" max="6" width="15.8515625" style="0" customWidth="1"/>
    <col min="9" max="9" width="8.57421875" style="0" customWidth="1"/>
    <col min="10" max="10" width="8.421875" style="0" customWidth="1"/>
  </cols>
  <sheetData>
    <row r="1" ht="18">
      <c r="A1" s="18" t="s">
        <v>101</v>
      </c>
    </row>
    <row r="2" ht="13.5" thickBot="1"/>
    <row r="3" spans="1:10" ht="12.75">
      <c r="A3" s="58"/>
      <c r="B3" s="59"/>
      <c r="C3" s="86" t="s">
        <v>75</v>
      </c>
      <c r="D3" s="86" t="s">
        <v>75</v>
      </c>
      <c r="E3" s="86" t="s">
        <v>55</v>
      </c>
      <c r="F3" s="86" t="s">
        <v>76</v>
      </c>
      <c r="G3" s="60"/>
      <c r="H3" s="60"/>
      <c r="J3" s="61"/>
    </row>
    <row r="4" spans="1:6" ht="12.75">
      <c r="A4" s="62"/>
      <c r="B4" s="63"/>
      <c r="C4" s="94">
        <v>40181</v>
      </c>
      <c r="D4" s="94">
        <v>40544</v>
      </c>
      <c r="E4" s="87"/>
      <c r="F4" s="87" t="s">
        <v>45</v>
      </c>
    </row>
    <row r="5" spans="1:6" ht="12.75">
      <c r="A5" s="64"/>
      <c r="B5" s="65"/>
      <c r="C5" s="88"/>
      <c r="D5" s="88"/>
      <c r="E5" s="65"/>
      <c r="F5" s="66"/>
    </row>
    <row r="6" spans="1:8" ht="12.75">
      <c r="A6" s="67" t="s">
        <v>77</v>
      </c>
      <c r="B6" s="65"/>
      <c r="C6" s="95">
        <v>2192</v>
      </c>
      <c r="D6" s="95">
        <v>5323</v>
      </c>
      <c r="E6" s="68">
        <f>D6-C6+G6</f>
        <v>3131</v>
      </c>
      <c r="F6" s="66">
        <f>(D6-C6+G6)/(D$4-C$4)</f>
        <v>8.62534435261708</v>
      </c>
      <c r="G6" s="68"/>
      <c r="H6" s="69"/>
    </row>
    <row r="7" spans="1:9" ht="12.75">
      <c r="A7" s="82" t="s">
        <v>78</v>
      </c>
      <c r="B7" s="65"/>
      <c r="C7" s="95">
        <v>2055</v>
      </c>
      <c r="D7" s="95">
        <v>2156</v>
      </c>
      <c r="E7" s="65">
        <f>D7-C7</f>
        <v>101</v>
      </c>
      <c r="F7" s="70">
        <f>(D7-C7)/(D$4-C$4)</f>
        <v>0.27823691460055094</v>
      </c>
      <c r="H7" s="69"/>
      <c r="I7" s="71"/>
    </row>
    <row r="8" spans="1:8" ht="12.75">
      <c r="A8" s="83" t="s">
        <v>79</v>
      </c>
      <c r="B8" s="62"/>
      <c r="C8" s="90"/>
      <c r="D8" s="90"/>
      <c r="E8" s="62">
        <f>E6-E7</f>
        <v>3030</v>
      </c>
      <c r="F8" s="70">
        <f>F6-F7</f>
        <v>8.347107438016529</v>
      </c>
      <c r="H8" s="69" t="s">
        <v>80</v>
      </c>
    </row>
    <row r="9" spans="1:8" ht="12.75">
      <c r="A9" s="82"/>
      <c r="B9" s="65"/>
      <c r="C9" s="89"/>
      <c r="D9" s="89"/>
      <c r="E9" s="65"/>
      <c r="F9" s="66"/>
      <c r="H9" s="69"/>
    </row>
    <row r="10" spans="1:8" ht="12.75">
      <c r="A10" s="82" t="s">
        <v>81</v>
      </c>
      <c r="B10" s="65"/>
      <c r="C10" s="89"/>
      <c r="D10" s="89"/>
      <c r="E10" s="65"/>
      <c r="F10" s="66"/>
      <c r="H10" s="69"/>
    </row>
    <row r="11" spans="1:8" ht="12.75">
      <c r="A11" s="82"/>
      <c r="B11" s="65"/>
      <c r="C11" s="89"/>
      <c r="D11" s="89"/>
      <c r="E11" s="65"/>
      <c r="F11" s="70"/>
      <c r="H11" s="69"/>
    </row>
    <row r="12" spans="1:8" ht="12.75">
      <c r="A12" s="84" t="s">
        <v>82</v>
      </c>
      <c r="B12" s="62"/>
      <c r="C12" s="96">
        <v>3383</v>
      </c>
      <c r="D12" s="96">
        <v>3805</v>
      </c>
      <c r="E12" s="62">
        <f aca="true" t="shared" si="0" ref="E12:E23">D12-C12</f>
        <v>422</v>
      </c>
      <c r="F12" s="70">
        <f>(E12)/(D$4-C$4)</f>
        <v>1.162534435261708</v>
      </c>
      <c r="H12" s="69"/>
    </row>
    <row r="13" spans="1:8" ht="12.75">
      <c r="A13" s="84" t="s">
        <v>83</v>
      </c>
      <c r="B13" s="62"/>
      <c r="C13" s="96">
        <v>3170</v>
      </c>
      <c r="D13" s="96">
        <v>3421</v>
      </c>
      <c r="E13" s="62">
        <f t="shared" si="0"/>
        <v>251</v>
      </c>
      <c r="F13" s="70">
        <f aca="true" t="shared" si="1" ref="F13:F24">(E13)/(D$4-C$4)</f>
        <v>0.6914600550964187</v>
      </c>
      <c r="G13" s="3"/>
      <c r="H13" s="69"/>
    </row>
    <row r="14" spans="1:8" ht="12.75">
      <c r="A14" s="84" t="s">
        <v>84</v>
      </c>
      <c r="B14" s="62"/>
      <c r="C14" s="96">
        <v>2223</v>
      </c>
      <c r="D14" s="96">
        <v>2384</v>
      </c>
      <c r="E14" s="62">
        <f t="shared" si="0"/>
        <v>161</v>
      </c>
      <c r="F14" s="70">
        <f t="shared" si="1"/>
        <v>0.44352617079889806</v>
      </c>
      <c r="H14" s="69"/>
    </row>
    <row r="15" spans="1:8" ht="12.75">
      <c r="A15" s="84" t="s">
        <v>85</v>
      </c>
      <c r="B15" s="62"/>
      <c r="C15" s="96">
        <v>3537</v>
      </c>
      <c r="D15" s="96">
        <v>3811</v>
      </c>
      <c r="E15" s="62">
        <f t="shared" si="0"/>
        <v>274</v>
      </c>
      <c r="F15" s="70">
        <f t="shared" si="1"/>
        <v>0.7548209366391184</v>
      </c>
      <c r="H15" s="69"/>
    </row>
    <row r="16" spans="1:8" ht="12.75">
      <c r="A16" s="84" t="s">
        <v>86</v>
      </c>
      <c r="B16" s="62"/>
      <c r="C16" s="96">
        <v>2770</v>
      </c>
      <c r="D16" s="96">
        <v>3267</v>
      </c>
      <c r="E16" s="62">
        <f t="shared" si="0"/>
        <v>497</v>
      </c>
      <c r="F16" s="70">
        <f t="shared" si="1"/>
        <v>1.3691460055096418</v>
      </c>
      <c r="H16" s="69"/>
    </row>
    <row r="17" spans="1:8" ht="12.75">
      <c r="A17" s="83" t="s">
        <v>87</v>
      </c>
      <c r="B17" s="62"/>
      <c r="C17" s="96">
        <v>2991</v>
      </c>
      <c r="D17" s="96">
        <v>3245</v>
      </c>
      <c r="E17" s="62">
        <f t="shared" si="0"/>
        <v>254</v>
      </c>
      <c r="F17" s="70">
        <f t="shared" si="1"/>
        <v>0.699724517906336</v>
      </c>
      <c r="H17" s="69"/>
    </row>
    <row r="18" spans="1:8" ht="12.75">
      <c r="A18" s="83" t="s">
        <v>88</v>
      </c>
      <c r="B18" s="62"/>
      <c r="C18" s="96">
        <v>3027</v>
      </c>
      <c r="D18" s="96">
        <v>3303</v>
      </c>
      <c r="E18" s="62">
        <f t="shared" si="0"/>
        <v>276</v>
      </c>
      <c r="F18" s="70">
        <f t="shared" si="1"/>
        <v>0.7603305785123967</v>
      </c>
      <c r="H18" s="69"/>
    </row>
    <row r="19" spans="1:8" ht="12.75">
      <c r="A19" s="83" t="s">
        <v>89</v>
      </c>
      <c r="B19" s="62"/>
      <c r="C19" s="96">
        <v>2915</v>
      </c>
      <c r="D19" s="96">
        <v>3137</v>
      </c>
      <c r="E19" s="62">
        <f t="shared" si="0"/>
        <v>222</v>
      </c>
      <c r="F19" s="70">
        <f t="shared" si="1"/>
        <v>0.6115702479338843</v>
      </c>
      <c r="H19" s="69"/>
    </row>
    <row r="20" spans="1:8" ht="12.75">
      <c r="A20" s="83">
        <v>24</v>
      </c>
      <c r="B20" s="62"/>
      <c r="C20" s="96">
        <v>13</v>
      </c>
      <c r="D20" s="96">
        <v>44</v>
      </c>
      <c r="E20" s="62">
        <f t="shared" si="0"/>
        <v>31</v>
      </c>
      <c r="F20" s="70">
        <f t="shared" si="1"/>
        <v>0.08539944903581267</v>
      </c>
      <c r="H20" s="69"/>
    </row>
    <row r="21" spans="1:8" ht="12.75">
      <c r="A21" s="83">
        <v>25</v>
      </c>
      <c r="B21" s="62"/>
      <c r="C21" s="96">
        <v>6</v>
      </c>
      <c r="D21" s="96">
        <v>28</v>
      </c>
      <c r="E21" s="62">
        <f t="shared" si="0"/>
        <v>22</v>
      </c>
      <c r="F21" s="70">
        <f t="shared" si="1"/>
        <v>0.06060606060606061</v>
      </c>
      <c r="H21" s="69"/>
    </row>
    <row r="22" spans="1:8" ht="12.75">
      <c r="A22" s="83" t="s">
        <v>90</v>
      </c>
      <c r="B22" s="62"/>
      <c r="C22" s="96">
        <v>5211</v>
      </c>
      <c r="D22" s="96">
        <v>5525</v>
      </c>
      <c r="E22" s="62">
        <f t="shared" si="0"/>
        <v>314</v>
      </c>
      <c r="F22" s="70">
        <f t="shared" si="1"/>
        <v>0.8650137741046832</v>
      </c>
      <c r="H22" s="69"/>
    </row>
    <row r="23" spans="1:8" ht="12.75">
      <c r="A23" s="82">
        <v>27</v>
      </c>
      <c r="B23" s="65"/>
      <c r="C23" s="95">
        <v>10580</v>
      </c>
      <c r="D23" s="95">
        <v>11113</v>
      </c>
      <c r="E23" s="65">
        <f t="shared" si="0"/>
        <v>533</v>
      </c>
      <c r="F23" s="70">
        <f t="shared" si="1"/>
        <v>1.4683195592286502</v>
      </c>
      <c r="H23" s="69"/>
    </row>
    <row r="24" spans="1:9" ht="13.5" thickBot="1">
      <c r="A24" s="85" t="s">
        <v>91</v>
      </c>
      <c r="B24" s="72"/>
      <c r="C24" s="91"/>
      <c r="D24" s="91"/>
      <c r="E24" s="73">
        <f>SUM(E12:E23)</f>
        <v>3257</v>
      </c>
      <c r="F24" s="74">
        <f t="shared" si="1"/>
        <v>8.97245179063361</v>
      </c>
      <c r="H24" s="1"/>
      <c r="I24" s="20"/>
    </row>
    <row r="25" spans="1:4" ht="12.75">
      <c r="A25" s="82"/>
      <c r="C25" s="43"/>
      <c r="D25" s="43"/>
    </row>
    <row r="26" spans="1:9" ht="12.75">
      <c r="A26" s="34" t="s">
        <v>92</v>
      </c>
      <c r="C26" s="43"/>
      <c r="D26" s="43"/>
      <c r="E26">
        <f>E22-E7</f>
        <v>213</v>
      </c>
      <c r="F26" s="75">
        <f>E26/(D$4-C$4)</f>
        <v>0.5867768595041323</v>
      </c>
      <c r="H26" s="69" t="s">
        <v>93</v>
      </c>
      <c r="I26" s="20"/>
    </row>
    <row r="27" spans="1:8" ht="12.75">
      <c r="A27" s="82" t="s">
        <v>94</v>
      </c>
      <c r="C27" s="97">
        <v>229</v>
      </c>
      <c r="D27" s="97">
        <v>259</v>
      </c>
      <c r="E27" s="65">
        <f>D27-C27</f>
        <v>30</v>
      </c>
      <c r="F27" s="66">
        <f>(D27-C27)/(D$4-C$4)</f>
        <v>0.08264462809917356</v>
      </c>
      <c r="H27" t="s">
        <v>95</v>
      </c>
    </row>
    <row r="28" ht="13.5" customHeight="1">
      <c r="A28" s="82"/>
    </row>
    <row r="29" spans="1:6" ht="13.5" customHeight="1">
      <c r="A29" s="82" t="s">
        <v>96</v>
      </c>
      <c r="E29" s="21">
        <f>E24-E7</f>
        <v>3156</v>
      </c>
      <c r="F29" s="66">
        <f>F24-F7</f>
        <v>8.694214876033058</v>
      </c>
    </row>
    <row r="30" spans="1:8" ht="12.75">
      <c r="A30" s="82" t="s">
        <v>97</v>
      </c>
      <c r="E30" s="21">
        <f>E6-E24</f>
        <v>-126</v>
      </c>
      <c r="F30" s="75">
        <f>F6-F24</f>
        <v>-0.3471074380165291</v>
      </c>
      <c r="H30" s="69"/>
    </row>
    <row r="31" spans="1:6" ht="12.75">
      <c r="A31" s="82" t="s">
        <v>98</v>
      </c>
      <c r="E31" s="76">
        <f>(E24-E23-E14-E7)/8</f>
        <v>307.75</v>
      </c>
      <c r="F31" s="75">
        <f>(F24-F23-F14)-F7/8</f>
        <v>7.025826446280993</v>
      </c>
    </row>
    <row r="32" ht="12.75">
      <c r="A32" s="34"/>
    </row>
    <row r="35" ht="12.75">
      <c r="A35" t="s">
        <v>99</v>
      </c>
    </row>
  </sheetData>
  <sheetProtection password="F3CB" sheet="1" objects="1" scenarios="1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0">
      <selection activeCell="J37" sqref="J37"/>
    </sheetView>
  </sheetViews>
  <sheetFormatPr defaultColWidth="9.140625" defaultRowHeight="12.75"/>
  <cols>
    <col min="1" max="1" width="7.57421875" style="48" customWidth="1"/>
    <col min="2" max="2" width="10.57421875" style="47" customWidth="1"/>
    <col min="3" max="4" width="8.00390625" style="48" hidden="1" customWidth="1"/>
    <col min="5" max="10" width="9.28125" style="48" customWidth="1"/>
    <col min="11" max="16384" width="9.140625" style="48" customWidth="1"/>
  </cols>
  <sheetData>
    <row r="1" ht="16.5">
      <c r="A1" s="47" t="s">
        <v>63</v>
      </c>
    </row>
    <row r="2" spans="1:10" ht="17.25" thickBot="1">
      <c r="A2" s="47"/>
      <c r="E2" s="47"/>
      <c r="F2" s="47"/>
      <c r="G2" s="47"/>
      <c r="H2" s="47"/>
      <c r="I2" s="47"/>
      <c r="J2" s="47"/>
    </row>
    <row r="3" spans="1:10" ht="15.75">
      <c r="A3" s="98" t="s">
        <v>29</v>
      </c>
      <c r="B3" s="99" t="s">
        <v>56</v>
      </c>
      <c r="C3" s="99" t="s">
        <v>57</v>
      </c>
      <c r="D3" s="99" t="s">
        <v>58</v>
      </c>
      <c r="E3" s="100" t="s">
        <v>67</v>
      </c>
      <c r="F3" s="99" t="s">
        <v>68</v>
      </c>
      <c r="G3" s="99" t="s">
        <v>69</v>
      </c>
      <c r="H3" s="99" t="s">
        <v>64</v>
      </c>
      <c r="I3" s="99" t="s">
        <v>65</v>
      </c>
      <c r="J3" s="99" t="s">
        <v>66</v>
      </c>
    </row>
    <row r="4" spans="1:11" ht="19.5">
      <c r="A4" s="49" t="s">
        <v>0</v>
      </c>
      <c r="B4" s="50">
        <f aca="true" t="shared" si="0" ref="B4:B32">SUM(E4:J4)</f>
        <v>6988</v>
      </c>
      <c r="C4" s="50"/>
      <c r="D4" s="50"/>
      <c r="E4" s="101">
        <v>1094</v>
      </c>
      <c r="F4" s="101">
        <v>1094</v>
      </c>
      <c r="G4" s="101">
        <v>1200</v>
      </c>
      <c r="H4" s="101">
        <v>1200</v>
      </c>
      <c r="I4" s="101">
        <v>1200</v>
      </c>
      <c r="J4" s="101">
        <v>1200</v>
      </c>
      <c r="K4" s="51"/>
    </row>
    <row r="5" spans="1:10" ht="19.5">
      <c r="A5" s="52">
        <v>2</v>
      </c>
      <c r="B5" s="50">
        <f t="shared" si="0"/>
        <v>1900</v>
      </c>
      <c r="C5" s="50"/>
      <c r="D5" s="50"/>
      <c r="E5" s="101">
        <v>274</v>
      </c>
      <c r="F5" s="101">
        <v>274</v>
      </c>
      <c r="G5" s="101">
        <v>338</v>
      </c>
      <c r="H5" s="101">
        <v>338</v>
      </c>
      <c r="I5" s="101">
        <v>338</v>
      </c>
      <c r="J5" s="101">
        <v>338</v>
      </c>
    </row>
    <row r="6" spans="1:11" ht="19.5">
      <c r="A6" s="53">
        <v>3</v>
      </c>
      <c r="B6" s="50">
        <f t="shared" si="0"/>
        <v>9500</v>
      </c>
      <c r="C6" s="50"/>
      <c r="D6" s="50"/>
      <c r="E6" s="101">
        <v>1368</v>
      </c>
      <c r="F6" s="101">
        <v>1368</v>
      </c>
      <c r="G6" s="101">
        <v>1691</v>
      </c>
      <c r="H6" s="101">
        <v>1691</v>
      </c>
      <c r="I6" s="101">
        <v>1691</v>
      </c>
      <c r="J6" s="101">
        <v>1691</v>
      </c>
      <c r="K6" s="51"/>
    </row>
    <row r="7" spans="1:10" ht="19.5">
      <c r="A7" s="53">
        <v>4</v>
      </c>
      <c r="B7" s="50">
        <f t="shared" si="0"/>
        <v>3244</v>
      </c>
      <c r="C7" s="50"/>
      <c r="D7" s="50"/>
      <c r="E7" s="101">
        <v>472</v>
      </c>
      <c r="F7" s="101">
        <v>472</v>
      </c>
      <c r="G7" s="101">
        <v>575</v>
      </c>
      <c r="H7" s="101">
        <v>575</v>
      </c>
      <c r="I7" s="101">
        <v>575</v>
      </c>
      <c r="J7" s="101">
        <v>575</v>
      </c>
    </row>
    <row r="8" spans="1:10" ht="19.5">
      <c r="A8" s="49" t="s">
        <v>59</v>
      </c>
      <c r="B8" s="50">
        <f t="shared" si="0"/>
        <v>3206</v>
      </c>
      <c r="C8" s="50"/>
      <c r="D8" s="50"/>
      <c r="E8" s="101">
        <v>453</v>
      </c>
      <c r="F8" s="101">
        <v>453</v>
      </c>
      <c r="G8" s="101">
        <v>575</v>
      </c>
      <c r="H8" s="101">
        <v>575</v>
      </c>
      <c r="I8" s="101">
        <v>575</v>
      </c>
      <c r="J8" s="101">
        <v>575</v>
      </c>
    </row>
    <row r="9" spans="1:10" ht="19.5">
      <c r="A9" s="49" t="s">
        <v>60</v>
      </c>
      <c r="B9" s="50">
        <f t="shared" si="0"/>
        <v>0</v>
      </c>
      <c r="C9" s="50"/>
      <c r="D9" s="50"/>
      <c r="E9" s="102"/>
      <c r="F9" s="102"/>
      <c r="G9" s="102"/>
      <c r="H9" s="102"/>
      <c r="I9" s="102"/>
      <c r="J9" s="102"/>
    </row>
    <row r="10" spans="1:10" ht="19.5">
      <c r="A10" s="53">
        <v>6</v>
      </c>
      <c r="B10" s="50">
        <f t="shared" si="0"/>
        <v>6484</v>
      </c>
      <c r="C10" s="50"/>
      <c r="D10" s="50"/>
      <c r="E10" s="101">
        <v>944</v>
      </c>
      <c r="F10" s="101">
        <v>944</v>
      </c>
      <c r="G10" s="101">
        <v>1149</v>
      </c>
      <c r="H10" s="101">
        <v>1149</v>
      </c>
      <c r="I10" s="101">
        <v>1149</v>
      </c>
      <c r="J10" s="101">
        <v>1149</v>
      </c>
    </row>
    <row r="11" spans="1:10" ht="19.5">
      <c r="A11" s="53">
        <v>7</v>
      </c>
      <c r="B11" s="50">
        <f t="shared" si="0"/>
        <v>2832</v>
      </c>
      <c r="C11" s="50"/>
      <c r="D11" s="50"/>
      <c r="E11" s="101">
        <v>396</v>
      </c>
      <c r="F11" s="101">
        <v>396</v>
      </c>
      <c r="G11" s="101">
        <v>510</v>
      </c>
      <c r="H11" s="101">
        <v>510</v>
      </c>
      <c r="I11" s="101">
        <v>510</v>
      </c>
      <c r="J11" s="101">
        <v>510</v>
      </c>
    </row>
    <row r="12" spans="1:10" ht="19.5">
      <c r="A12" s="53">
        <v>8</v>
      </c>
      <c r="B12" s="50">
        <f t="shared" si="0"/>
        <v>5662</v>
      </c>
      <c r="C12" s="50"/>
      <c r="D12" s="50"/>
      <c r="E12" s="101">
        <v>793</v>
      </c>
      <c r="F12" s="101">
        <v>793</v>
      </c>
      <c r="G12" s="101">
        <v>1019</v>
      </c>
      <c r="H12" s="101">
        <v>1019</v>
      </c>
      <c r="I12" s="101">
        <v>1019</v>
      </c>
      <c r="J12" s="101">
        <v>1019</v>
      </c>
    </row>
    <row r="13" spans="1:10" ht="19.5">
      <c r="A13" s="53">
        <v>9</v>
      </c>
      <c r="B13" s="50">
        <f t="shared" si="0"/>
        <v>5912</v>
      </c>
      <c r="C13" s="50"/>
      <c r="D13" s="50"/>
      <c r="E13" s="101">
        <v>800</v>
      </c>
      <c r="F13" s="101">
        <v>800</v>
      </c>
      <c r="G13" s="101">
        <v>1078</v>
      </c>
      <c r="H13" s="101">
        <v>1078</v>
      </c>
      <c r="I13" s="101">
        <v>1078</v>
      </c>
      <c r="J13" s="101">
        <v>1078</v>
      </c>
    </row>
    <row r="14" spans="1:10" ht="19.5">
      <c r="A14" s="53">
        <v>10</v>
      </c>
      <c r="B14" s="50">
        <f t="shared" si="0"/>
        <v>5192</v>
      </c>
      <c r="C14" s="50"/>
      <c r="D14" s="50"/>
      <c r="E14" s="101">
        <v>800</v>
      </c>
      <c r="F14" s="101">
        <v>800</v>
      </c>
      <c r="G14" s="101">
        <v>898</v>
      </c>
      <c r="H14" s="101">
        <v>898</v>
      </c>
      <c r="I14" s="101">
        <v>898</v>
      </c>
      <c r="J14" s="101">
        <v>898</v>
      </c>
    </row>
    <row r="15" spans="1:10" ht="19.5">
      <c r="A15" s="53">
        <v>11</v>
      </c>
      <c r="B15" s="50">
        <f t="shared" si="0"/>
        <v>3712</v>
      </c>
      <c r="C15" s="50"/>
      <c r="D15" s="50"/>
      <c r="E15" s="101">
        <v>600</v>
      </c>
      <c r="F15" s="101">
        <v>600</v>
      </c>
      <c r="G15" s="101">
        <v>628</v>
      </c>
      <c r="H15" s="101">
        <v>628</v>
      </c>
      <c r="I15" s="101">
        <v>628</v>
      </c>
      <c r="J15" s="101">
        <v>628</v>
      </c>
    </row>
    <row r="16" spans="1:11" ht="19.5">
      <c r="A16" s="53">
        <v>12</v>
      </c>
      <c r="B16" s="50">
        <f t="shared" si="0"/>
        <v>5868</v>
      </c>
      <c r="C16" s="50"/>
      <c r="D16" s="50"/>
      <c r="E16" s="101">
        <v>770</v>
      </c>
      <c r="F16" s="101">
        <v>770</v>
      </c>
      <c r="G16" s="101">
        <v>1082</v>
      </c>
      <c r="H16" s="101">
        <v>1082</v>
      </c>
      <c r="I16" s="101">
        <v>1082</v>
      </c>
      <c r="J16" s="101">
        <v>1082</v>
      </c>
      <c r="K16" s="51"/>
    </row>
    <row r="17" spans="1:10" ht="19.5">
      <c r="A17" s="53">
        <v>13</v>
      </c>
      <c r="B17" s="50">
        <f t="shared" si="0"/>
        <v>1468</v>
      </c>
      <c r="C17" s="50"/>
      <c r="D17" s="50"/>
      <c r="E17" s="101">
        <v>192</v>
      </c>
      <c r="F17" s="101">
        <v>192</v>
      </c>
      <c r="G17" s="101">
        <v>271</v>
      </c>
      <c r="H17" s="101">
        <v>271</v>
      </c>
      <c r="I17" s="101">
        <v>271</v>
      </c>
      <c r="J17" s="101">
        <v>271</v>
      </c>
    </row>
    <row r="18" spans="1:11" ht="19.5">
      <c r="A18" s="53">
        <v>14</v>
      </c>
      <c r="B18" s="50">
        <f t="shared" si="0"/>
        <v>7336</v>
      </c>
      <c r="C18" s="50"/>
      <c r="D18" s="50"/>
      <c r="E18" s="101">
        <v>962</v>
      </c>
      <c r="F18" s="101">
        <v>962</v>
      </c>
      <c r="G18" s="101">
        <v>1353</v>
      </c>
      <c r="H18" s="101">
        <v>1353</v>
      </c>
      <c r="I18" s="101">
        <v>1353</v>
      </c>
      <c r="J18" s="101">
        <v>1353</v>
      </c>
      <c r="K18" s="51"/>
    </row>
    <row r="19" spans="1:10" ht="19.5">
      <c r="A19" s="53">
        <v>15</v>
      </c>
      <c r="B19" s="50">
        <f t="shared" si="0"/>
        <v>3646</v>
      </c>
      <c r="C19" s="50"/>
      <c r="D19" s="50"/>
      <c r="E19" s="101">
        <v>575</v>
      </c>
      <c r="F19" s="101">
        <v>575</v>
      </c>
      <c r="G19" s="101">
        <v>624</v>
      </c>
      <c r="H19" s="101">
        <v>624</v>
      </c>
      <c r="I19" s="101">
        <v>624</v>
      </c>
      <c r="J19" s="101">
        <v>624</v>
      </c>
    </row>
    <row r="20" spans="1:10" ht="19.5">
      <c r="A20" s="53">
        <v>16</v>
      </c>
      <c r="B20" s="50">
        <f t="shared" si="0"/>
        <v>3646</v>
      </c>
      <c r="C20" s="50"/>
      <c r="D20" s="50"/>
      <c r="E20" s="101">
        <v>575</v>
      </c>
      <c r="F20" s="101">
        <v>575</v>
      </c>
      <c r="G20" s="101">
        <v>624</v>
      </c>
      <c r="H20" s="101">
        <v>624</v>
      </c>
      <c r="I20" s="101">
        <v>624</v>
      </c>
      <c r="J20" s="101">
        <v>624</v>
      </c>
    </row>
    <row r="21" spans="1:10" ht="19.5">
      <c r="A21" s="53">
        <v>17</v>
      </c>
      <c r="B21" s="50">
        <f t="shared" si="0"/>
        <v>3646</v>
      </c>
      <c r="C21" s="50"/>
      <c r="D21" s="50"/>
      <c r="E21" s="101">
        <v>575</v>
      </c>
      <c r="F21" s="101">
        <v>575</v>
      </c>
      <c r="G21" s="101">
        <v>624</v>
      </c>
      <c r="H21" s="101">
        <v>624</v>
      </c>
      <c r="I21" s="101">
        <v>624</v>
      </c>
      <c r="J21" s="101">
        <v>624</v>
      </c>
    </row>
    <row r="22" spans="1:10" ht="19.5">
      <c r="A22" s="53">
        <v>18</v>
      </c>
      <c r="B22" s="50">
        <f t="shared" si="0"/>
        <v>4664</v>
      </c>
      <c r="C22" s="50"/>
      <c r="D22" s="50"/>
      <c r="E22" s="101">
        <v>770</v>
      </c>
      <c r="F22" s="101">
        <v>770</v>
      </c>
      <c r="G22" s="101">
        <v>781</v>
      </c>
      <c r="H22" s="101">
        <v>781</v>
      </c>
      <c r="I22" s="101">
        <v>781</v>
      </c>
      <c r="J22" s="101">
        <v>781</v>
      </c>
    </row>
    <row r="23" spans="1:10" ht="19.5">
      <c r="A23" s="53">
        <v>19</v>
      </c>
      <c r="B23" s="50">
        <f t="shared" si="0"/>
        <v>3010</v>
      </c>
      <c r="C23" s="50"/>
      <c r="D23" s="50"/>
      <c r="E23" s="101">
        <v>463</v>
      </c>
      <c r="F23" s="101">
        <v>463</v>
      </c>
      <c r="G23" s="101">
        <v>521</v>
      </c>
      <c r="H23" s="101">
        <v>521</v>
      </c>
      <c r="I23" s="101">
        <v>521</v>
      </c>
      <c r="J23" s="101">
        <v>521</v>
      </c>
    </row>
    <row r="24" spans="1:10" ht="19.5">
      <c r="A24" s="53">
        <v>20</v>
      </c>
      <c r="B24" s="50">
        <f t="shared" si="0"/>
        <v>6018</v>
      </c>
      <c r="C24" s="50"/>
      <c r="D24" s="50"/>
      <c r="E24" s="102">
        <v>925</v>
      </c>
      <c r="F24" s="102">
        <v>925</v>
      </c>
      <c r="G24" s="102">
        <v>1042</v>
      </c>
      <c r="H24" s="102">
        <v>1042</v>
      </c>
      <c r="I24" s="102">
        <v>1042</v>
      </c>
      <c r="J24" s="102">
        <v>1042</v>
      </c>
    </row>
    <row r="25" spans="1:10" ht="19.5">
      <c r="A25" s="53">
        <v>21</v>
      </c>
      <c r="B25" s="50">
        <f t="shared" si="0"/>
        <v>4714</v>
      </c>
      <c r="C25" s="50"/>
      <c r="D25" s="50"/>
      <c r="E25" s="101">
        <v>667</v>
      </c>
      <c r="F25" s="101">
        <v>667</v>
      </c>
      <c r="G25" s="101">
        <v>845</v>
      </c>
      <c r="H25" s="101">
        <v>845</v>
      </c>
      <c r="I25" s="101">
        <v>845</v>
      </c>
      <c r="J25" s="101">
        <v>845</v>
      </c>
    </row>
    <row r="26" spans="1:10" ht="19.5">
      <c r="A26" s="53">
        <v>22</v>
      </c>
      <c r="B26" s="50">
        <f t="shared" si="0"/>
        <v>2360</v>
      </c>
      <c r="C26" s="50"/>
      <c r="D26" s="50"/>
      <c r="E26" s="101">
        <v>334</v>
      </c>
      <c r="F26" s="101">
        <v>334</v>
      </c>
      <c r="G26" s="101">
        <v>423</v>
      </c>
      <c r="H26" s="101">
        <v>423</v>
      </c>
      <c r="I26" s="101">
        <v>423</v>
      </c>
      <c r="J26" s="101">
        <v>423</v>
      </c>
    </row>
    <row r="27" spans="1:10" ht="19.5">
      <c r="A27" s="53">
        <v>23</v>
      </c>
      <c r="B27" s="50">
        <f t="shared" si="0"/>
        <v>4650</v>
      </c>
      <c r="C27" s="50"/>
      <c r="D27" s="50"/>
      <c r="E27" s="101">
        <v>635</v>
      </c>
      <c r="F27" s="101">
        <v>635</v>
      </c>
      <c r="G27" s="101">
        <v>845</v>
      </c>
      <c r="H27" s="101">
        <v>845</v>
      </c>
      <c r="I27" s="101">
        <v>845</v>
      </c>
      <c r="J27" s="101">
        <v>845</v>
      </c>
    </row>
    <row r="28" spans="1:10" ht="19.5">
      <c r="A28" s="53">
        <v>24</v>
      </c>
      <c r="B28" s="50">
        <f t="shared" si="0"/>
        <v>2570</v>
      </c>
      <c r="C28" s="50"/>
      <c r="D28" s="50"/>
      <c r="E28" s="101">
        <v>685</v>
      </c>
      <c r="F28" s="101">
        <v>685</v>
      </c>
      <c r="G28" s="101">
        <v>300</v>
      </c>
      <c r="H28" s="101">
        <v>300</v>
      </c>
      <c r="I28" s="101">
        <v>300</v>
      </c>
      <c r="J28" s="101">
        <v>300</v>
      </c>
    </row>
    <row r="29" spans="1:10" ht="19.5">
      <c r="A29" s="53">
        <v>25</v>
      </c>
      <c r="B29" s="50">
        <f t="shared" si="0"/>
        <v>2108</v>
      </c>
      <c r="C29" s="50"/>
      <c r="D29" s="50"/>
      <c r="E29" s="101">
        <v>416</v>
      </c>
      <c r="F29" s="101">
        <v>416</v>
      </c>
      <c r="G29" s="101">
        <v>319</v>
      </c>
      <c r="H29" s="101">
        <v>319</v>
      </c>
      <c r="I29" s="101">
        <v>319</v>
      </c>
      <c r="J29" s="101">
        <v>319</v>
      </c>
    </row>
    <row r="30" spans="1:10" ht="19.5">
      <c r="A30" s="53" t="s">
        <v>61</v>
      </c>
      <c r="B30" s="50">
        <f t="shared" si="0"/>
        <v>3296</v>
      </c>
      <c r="C30" s="50"/>
      <c r="D30" s="50"/>
      <c r="E30" s="101">
        <v>616</v>
      </c>
      <c r="F30" s="101">
        <v>616</v>
      </c>
      <c r="G30" s="101">
        <v>516</v>
      </c>
      <c r="H30" s="101">
        <v>516</v>
      </c>
      <c r="I30" s="101">
        <v>516</v>
      </c>
      <c r="J30" s="101">
        <v>516</v>
      </c>
    </row>
    <row r="31" spans="1:10" ht="19.5">
      <c r="A31" s="53" t="s">
        <v>62</v>
      </c>
      <c r="B31" s="50">
        <f>SUM(E31:J31)</f>
        <v>5114</v>
      </c>
      <c r="C31" s="50"/>
      <c r="D31" s="50"/>
      <c r="E31" s="101">
        <v>923</v>
      </c>
      <c r="F31" s="101">
        <v>923</v>
      </c>
      <c r="G31" s="101">
        <v>817</v>
      </c>
      <c r="H31" s="101">
        <v>817</v>
      </c>
      <c r="I31" s="101">
        <v>817</v>
      </c>
      <c r="J31" s="101">
        <v>817</v>
      </c>
    </row>
    <row r="32" spans="1:10" ht="19.5">
      <c r="A32" s="53">
        <v>27</v>
      </c>
      <c r="B32" s="50">
        <f t="shared" si="0"/>
        <v>24764.46940264026</v>
      </c>
      <c r="C32" s="50"/>
      <c r="D32" s="50"/>
      <c r="E32" s="101">
        <v>24764.46940264026</v>
      </c>
      <c r="F32" s="105">
        <v>0</v>
      </c>
      <c r="G32" s="105">
        <v>0</v>
      </c>
      <c r="H32" s="105">
        <v>0</v>
      </c>
      <c r="I32" s="105">
        <v>0</v>
      </c>
      <c r="J32" s="105">
        <v>0</v>
      </c>
    </row>
    <row r="33" spans="1:10" ht="15.75" thickBot="1">
      <c r="A33" s="54" t="s">
        <v>56</v>
      </c>
      <c r="B33" s="55">
        <f aca="true" t="shared" si="1" ref="B33:G33">SUM(B4:B32)</f>
        <v>143510.46940264027</v>
      </c>
      <c r="C33" s="55">
        <f t="shared" si="1"/>
        <v>0</v>
      </c>
      <c r="D33" s="55">
        <f t="shared" si="1"/>
        <v>0</v>
      </c>
      <c r="E33" s="55">
        <f t="shared" si="1"/>
        <v>42841.46940264026</v>
      </c>
      <c r="F33" s="55">
        <f t="shared" si="1"/>
        <v>18077</v>
      </c>
      <c r="G33" s="55">
        <f t="shared" si="1"/>
        <v>20648</v>
      </c>
      <c r="H33" s="55">
        <f>SUM(H4:H32)</f>
        <v>20648</v>
      </c>
      <c r="I33" s="55">
        <f>SUM(I4:I32)</f>
        <v>20648</v>
      </c>
      <c r="J33" s="55">
        <f>SUM(J4:J32)</f>
        <v>20648</v>
      </c>
    </row>
    <row r="36" ht="16.5">
      <c r="A36" s="48" t="s">
        <v>99</v>
      </c>
    </row>
  </sheetData>
  <sheetProtection password="F3CB" sheet="1"/>
  <protectedRanges>
    <protectedRange sqref="E4:J32" name="Omr?de1"/>
  </protectedRange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NOVO NORDISK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Rasmussen</dc:creator>
  <cp:keywords/>
  <dc:description/>
  <cp:lastModifiedBy>Kristian Rasmussen</cp:lastModifiedBy>
  <cp:lastPrinted>2011-09-29T11:49:37Z</cp:lastPrinted>
  <dcterms:created xsi:type="dcterms:W3CDTF">2000-08-12T16:15:10Z</dcterms:created>
  <dcterms:modified xsi:type="dcterms:W3CDTF">2011-09-29T12:09:26Z</dcterms:modified>
  <cp:category/>
  <cp:version/>
  <cp:contentType/>
  <cp:contentStatus/>
</cp:coreProperties>
</file>